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61" windowWidth="12000" windowHeight="12120" activeTab="0"/>
  </bookViews>
  <sheets>
    <sheet name="Data Entry Sheet" sheetId="1" r:id="rId1"/>
    <sheet name="Stability" sheetId="2" r:id="rId2"/>
    <sheet name="Graphs" sheetId="3" r:id="rId3"/>
    <sheet name="Constants" sheetId="4" r:id="rId4"/>
  </sheets>
  <externalReferences>
    <externalReference r:id="rId7"/>
  </externalReferences>
  <definedNames>
    <definedName name="Ambient">OFFSET('Stability'!$C$20,0,0,COUNT('Stability'!$B$20:$B$30))</definedName>
    <definedName name="Control">OFFSET('Stability'!$D$20,0,0,COUNT('Stability'!$B$20:$B$30))</definedName>
    <definedName name="Cycle_No">OFFSET('Stability'!$B$20,0,0,COUNT('Stability'!$B$20:$B$30))</definedName>
    <definedName name="_xlnm.Print_Area" localSheetId="2">'Graphs'!$A$1:$I$59</definedName>
    <definedName name="ReportNo">'[1]Data Entry Sheet'!$C$3</definedName>
    <definedName name="Res1">OFFSET('Stability'!$I$41,0,0,COUNT('Stability'!$B$20:$B$30))</definedName>
    <definedName name="Res2">OFFSET('Stability'!$J$41,0,0,COUNT('Stability'!$B$20:$B$30))</definedName>
    <definedName name="Res3">OFFSET('Stability'!$K$41,0,0,COUNT('Stability'!$B$20:$B$30))</definedName>
    <definedName name="RES4">OFFSET('Stability'!$L$41,0,0,COUNT('Stability'!$B$20:$B$30))</definedName>
    <definedName name="Sample1">OFFSET('Stability'!$E$20,0,0,COUNT('Stability'!$B$20:$B$30))</definedName>
    <definedName name="Sample2">OFFSET('Stability'!$G$20,0,0,COUNT('Stability'!$B$20:$B$30))</definedName>
    <definedName name="Sample3">OFFSET('Stability'!$G$20,0,0,COUNT('Stability'!$B$20:$B$30))</definedName>
    <definedName name="Sample4">OFFSET('Stability'!$H$20,0,0,COUNT('Stability'!$B$20:$B$30))</definedName>
    <definedName name="Test_Classes">'Constants'!$F$2:$F$5</definedName>
    <definedName name="Test_Methods">'Constants'!$G$1:$G$3</definedName>
    <definedName name="Type">'Constants'!$I$2:$I$3</definedName>
    <definedName name="Wire_Type">'Constants'!$A:$A</definedName>
  </definedNames>
  <calcPr fullCalcOnLoad="1"/>
</workbook>
</file>

<file path=xl/comments1.xml><?xml version="1.0" encoding="utf-8"?>
<comments xmlns="http://schemas.openxmlformats.org/spreadsheetml/2006/main">
  <authors>
    <author>rwestbrook</author>
    <author>JZahnen</author>
    <author>XP</author>
  </authors>
  <commentList>
    <comment ref="J34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Added Color and numbers here
Our lab techs asked for this to be able to follow straight across from the measurement point</t>
        </r>
      </text>
    </comment>
    <comment ref="E19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C6" authorId="1">
      <text>
        <r>
          <rPr>
            <b/>
            <sz val="8"/>
            <rFont val="Tahoma"/>
            <family val="0"/>
          </rPr>
          <t xml:space="preserve">Select Mechanical or Compression
</t>
        </r>
        <r>
          <rPr>
            <sz val="8"/>
            <rFont val="Tahoma"/>
            <family val="0"/>
          </rPr>
          <t xml:space="preserve">
</t>
        </r>
      </text>
    </comment>
    <comment ref="B37" authorId="2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Type in Actual Cycle #</t>
        </r>
      </text>
    </comment>
  </commentList>
</comments>
</file>

<file path=xl/comments2.xml><?xml version="1.0" encoding="utf-8"?>
<comments xmlns="http://schemas.openxmlformats.org/spreadsheetml/2006/main">
  <authors>
    <author>rwestbrook</author>
  </authors>
  <commentList>
    <comment ref="E20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highlighted values are above the control conductor</t>
        </r>
      </text>
    </comment>
    <comment ref="M20" authorId="0">
      <text>
        <r>
          <rPr>
            <b/>
            <sz val="8"/>
            <rFont val="Tahoma"/>
            <family val="0"/>
          </rPr>
          <t xml:space="preserve">rwestbrook: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Highlights Values out of Tolerance</t>
        </r>
      </text>
    </comment>
    <comment ref="I41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Highlights values out of tolerance</t>
        </r>
      </text>
    </comment>
    <comment ref="C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F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</commentList>
</comments>
</file>

<file path=xl/sharedStrings.xml><?xml version="1.0" encoding="utf-8"?>
<sst xmlns="http://schemas.openxmlformats.org/spreadsheetml/2006/main" count="157" uniqueCount="72">
  <si>
    <t>Project #</t>
  </si>
  <si>
    <t>Connector Resistance (Measured)</t>
  </si>
  <si>
    <t>C1</t>
  </si>
  <si>
    <t>C2</t>
  </si>
  <si>
    <t>C3</t>
  </si>
  <si>
    <t>C4</t>
  </si>
  <si>
    <t>Connector Temp (°C)</t>
  </si>
  <si>
    <t>Micro Ohms (μΩ)</t>
  </si>
  <si>
    <t>Temperature Difference (°C)</t>
  </si>
  <si>
    <t>Average  Temperature Difference</t>
  </si>
  <si>
    <t>Average Resistance</t>
  </si>
  <si>
    <t>Min Acceptable Resistance</t>
  </si>
  <si>
    <t>Max Allowable Resistance</t>
  </si>
  <si>
    <t>Part Tested:</t>
  </si>
  <si>
    <t xml:space="preserve">Size </t>
  </si>
  <si>
    <t>Type</t>
  </si>
  <si>
    <t>Length</t>
  </si>
  <si>
    <t xml:space="preserve">Date Completed:_ </t>
  </si>
  <si>
    <t>Conductor Preparation:</t>
  </si>
  <si>
    <t>Amps</t>
  </si>
  <si>
    <t>Current Cycle: On Period (Hrs)</t>
  </si>
  <si>
    <t>Off Period (Hrs)</t>
  </si>
  <si>
    <t xml:space="preserve">Date Started: </t>
  </si>
  <si>
    <t>Cable (main)</t>
  </si>
  <si>
    <t xml:space="preserve">Test Current: </t>
  </si>
  <si>
    <t xml:space="preserve">Compounded? </t>
  </si>
  <si>
    <t>Wire Brushed?</t>
  </si>
  <si>
    <t>1. The connector temperature cannot exceed the control conductor temperature</t>
  </si>
  <si>
    <t>Cycle Number</t>
  </si>
  <si>
    <t>Ambient (°C)</t>
  </si>
  <si>
    <t>Control Conductor (°C)</t>
  </si>
  <si>
    <t xml:space="preserve">Maximum Stability Factor </t>
  </si>
  <si>
    <t>Stability Factor (Si)</t>
  </si>
  <si>
    <t>Class of Test</t>
  </si>
  <si>
    <t>AL</t>
  </si>
  <si>
    <t>CU</t>
  </si>
  <si>
    <t>Test Method:</t>
  </si>
  <si>
    <t>Connector Resistance                         (Corrected to 20C)</t>
  </si>
  <si>
    <t>Measurement Point</t>
  </si>
  <si>
    <t>Current Cycle Data Sheet</t>
  </si>
  <si>
    <t>ACSR</t>
  </si>
  <si>
    <t>CCT</t>
  </si>
  <si>
    <t>2. The stability factor “Si” shall not exceed 10 for each of the connector temperature measurements recorded at the specified intervals.</t>
  </si>
  <si>
    <t>3. The resistance of the connectors tested shall not vary by more than 5% from the average of the measured values.</t>
  </si>
  <si>
    <t>Resistance constants</t>
  </si>
  <si>
    <t>Wire Type</t>
  </si>
  <si>
    <t>Method</t>
  </si>
  <si>
    <t>Class</t>
  </si>
  <si>
    <t>* Record Ambient at time resistance is measured</t>
  </si>
  <si>
    <t xml:space="preserve"> </t>
  </si>
  <si>
    <t>Heat Cycle Temperature and Resistance Graphs</t>
  </si>
  <si>
    <t>Stranding</t>
  </si>
  <si>
    <t>n/a</t>
  </si>
  <si>
    <t>Insulation</t>
  </si>
  <si>
    <t>Cable (Tap)</t>
  </si>
  <si>
    <t>Compound</t>
  </si>
  <si>
    <t>Measurement Points</t>
  </si>
  <si>
    <t xml:space="preserve">Mechanical </t>
  </si>
  <si>
    <t>Compression</t>
  </si>
  <si>
    <t>Connector Type:</t>
  </si>
  <si>
    <t>Req'd Cycle Number</t>
  </si>
  <si>
    <t>Actual Cycle number</t>
  </si>
  <si>
    <r>
      <t>Ambient @ Reading (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C)</t>
    </r>
  </si>
  <si>
    <t>ANSI C119.1</t>
  </si>
  <si>
    <t>A</t>
  </si>
  <si>
    <t>Select Test Method</t>
  </si>
  <si>
    <t>Current Cycle Report Data Sheet</t>
  </si>
  <si>
    <t>19</t>
  </si>
  <si>
    <t>USE</t>
  </si>
  <si>
    <t>12</t>
  </si>
  <si>
    <t>Select Connector Type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</si>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</sst>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000"/>
    <numFmt numFmtId="172" formatCode="0.000000000"/>
    <numFmt numFmtId="173" formatCode="0.0000000000"/>
    <numFmt numFmtId="174" formatCode="0.00000000000"/>
    <numFmt numFmtId="175" formatCode="0.00000"/>
    <numFmt numFmtId="176" formatCode="0.0000"/>
    <numFmt numFmtId="177" formatCode="0.000"/>
    <numFmt numFmtId="178" formatCode="mm/dd/yyyy"/>
    <numFmt numFmtId="179" formatCode="0.0%"/>
    <numFmt numFmtId="180" formatCode="0_)"/>
    <numFmt numFmtId="181" formatCode="[$-409]dddd\,\ mmmm\ dd\,\ yyyy"/>
    <numFmt numFmtId="182" formatCode="m/d/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5" fillId="0" borderId="19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68" fontId="5" fillId="0" borderId="21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0" fillId="0" borderId="17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center"/>
      <protection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3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168" fontId="0" fillId="0" borderId="18" xfId="0" applyNumberFormat="1" applyFill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168" fontId="0" fillId="0" borderId="25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8" fontId="5" fillId="0" borderId="27" xfId="0" applyNumberFormat="1" applyFont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8" fontId="5" fillId="0" borderId="28" xfId="0" applyNumberFormat="1" applyFont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20" borderId="25" xfId="0" applyFont="1" applyFill="1" applyBorder="1" applyAlignment="1" applyProtection="1">
      <alignment horizontal="center"/>
      <protection/>
    </xf>
    <xf numFmtId="168" fontId="5" fillId="0" borderId="25" xfId="0" applyNumberFormat="1" applyFont="1" applyBorder="1" applyAlignment="1" applyProtection="1">
      <alignment horizontal="center"/>
      <protection/>
    </xf>
    <xf numFmtId="168" fontId="5" fillId="0" borderId="28" xfId="0" applyNumberFormat="1" applyFont="1" applyBorder="1" applyAlignment="1" applyProtection="1">
      <alignment horizontal="center"/>
      <protection/>
    </xf>
    <xf numFmtId="0" fontId="5" fillId="22" borderId="31" xfId="0" applyFont="1" applyFill="1" applyBorder="1" applyAlignment="1">
      <alignment horizontal="center"/>
    </xf>
    <xf numFmtId="168" fontId="0" fillId="0" borderId="30" xfId="0" applyNumberFormat="1" applyFill="1" applyBorder="1" applyAlignment="1" applyProtection="1">
      <alignment horizontal="center"/>
      <protection/>
    </xf>
    <xf numFmtId="168" fontId="0" fillId="0" borderId="32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20" borderId="33" xfId="0" applyFont="1" applyFill="1" applyBorder="1" applyAlignment="1" applyProtection="1">
      <alignment horizontal="center"/>
      <protection/>
    </xf>
    <xf numFmtId="168" fontId="0" fillId="0" borderId="16" xfId="0" applyNumberFormat="1" applyBorder="1" applyAlignment="1" applyProtection="1">
      <alignment horizontal="center"/>
      <protection/>
    </xf>
    <xf numFmtId="168" fontId="0" fillId="0" borderId="30" xfId="0" applyNumberFormat="1" applyBorder="1" applyAlignment="1" applyProtection="1">
      <alignment horizontal="center"/>
      <protection/>
    </xf>
    <xf numFmtId="168" fontId="5" fillId="0" borderId="27" xfId="0" applyNumberFormat="1" applyFont="1" applyBorder="1" applyAlignment="1" applyProtection="1">
      <alignment horizontal="center"/>
      <protection/>
    </xf>
    <xf numFmtId="168" fontId="0" fillId="0" borderId="34" xfId="0" applyNumberFormat="1" applyFill="1" applyBorder="1" applyAlignment="1" applyProtection="1">
      <alignment horizontal="center"/>
      <protection/>
    </xf>
    <xf numFmtId="168" fontId="0" fillId="0" borderId="35" xfId="0" applyNumberFormat="1" applyFill="1" applyBorder="1" applyAlignment="1" applyProtection="1">
      <alignment horizontal="center"/>
      <protection/>
    </xf>
    <xf numFmtId="168" fontId="0" fillId="0" borderId="36" xfId="0" applyNumberFormat="1" applyFill="1" applyBorder="1" applyAlignment="1" applyProtection="1">
      <alignment horizontal="center"/>
      <protection/>
    </xf>
    <xf numFmtId="168" fontId="0" fillId="0" borderId="16" xfId="0" applyNumberFormat="1" applyFill="1" applyBorder="1" applyAlignment="1" applyProtection="1">
      <alignment horizontal="center"/>
      <protection/>
    </xf>
    <xf numFmtId="168" fontId="0" fillId="0" borderId="17" xfId="0" applyNumberFormat="1" applyFill="1" applyBorder="1" applyAlignment="1" applyProtection="1">
      <alignment horizontal="center"/>
      <protection/>
    </xf>
    <xf numFmtId="168" fontId="0" fillId="0" borderId="37" xfId="0" applyNumberFormat="1" applyFill="1" applyBorder="1" applyAlignment="1" applyProtection="1">
      <alignment horizontal="center"/>
      <protection/>
    </xf>
    <xf numFmtId="168" fontId="0" fillId="0" borderId="38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Border="1" applyAlignment="1" quotePrefix="1">
      <alignment/>
    </xf>
    <xf numFmtId="49" fontId="5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0" fontId="5" fillId="0" borderId="40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17" xfId="0" applyNumberFormat="1" applyBorder="1" applyAlignment="1">
      <alignment horizontal="center"/>
    </xf>
    <xf numFmtId="168" fontId="0" fillId="0" borderId="19" xfId="0" applyNumberFormat="1" applyFill="1" applyBorder="1" applyAlignment="1" applyProtection="1">
      <alignment horizontal="center"/>
      <protection/>
    </xf>
    <xf numFmtId="168" fontId="0" fillId="0" borderId="19" xfId="0" applyNumberFormat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5" fillId="20" borderId="41" xfId="0" applyFont="1" applyFill="1" applyBorder="1" applyAlignment="1" applyProtection="1">
      <alignment horizontal="center"/>
      <protection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0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5" fillId="22" borderId="43" xfId="0" applyFont="1" applyFill="1" applyBorder="1" applyAlignment="1" applyProtection="1">
      <alignment/>
      <protection/>
    </xf>
    <xf numFmtId="0" fontId="5" fillId="22" borderId="10" xfId="0" applyFont="1" applyFill="1" applyBorder="1" applyAlignment="1" applyProtection="1">
      <alignment/>
      <protection/>
    </xf>
    <xf numFmtId="0" fontId="5" fillId="22" borderId="44" xfId="0" applyFont="1" applyFill="1" applyBorder="1" applyAlignment="1" applyProtection="1">
      <alignment/>
      <protection/>
    </xf>
    <xf numFmtId="0" fontId="0" fillId="0" borderId="4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17" fontId="5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5" fillId="22" borderId="40" xfId="0" applyFont="1" applyFill="1" applyBorder="1" applyAlignment="1">
      <alignment/>
    </xf>
    <xf numFmtId="0" fontId="5" fillId="22" borderId="0" xfId="0" applyFont="1" applyFill="1" applyAlignment="1">
      <alignment/>
    </xf>
    <xf numFmtId="0" fontId="5" fillId="22" borderId="11" xfId="0" applyFont="1" applyFill="1" applyBorder="1" applyAlignment="1">
      <alignment/>
    </xf>
    <xf numFmtId="168" fontId="5" fillId="22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49" fontId="5" fillId="2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22" borderId="19" xfId="0" applyFont="1" applyFill="1" applyBorder="1" applyAlignment="1">
      <alignment horizontal="center"/>
    </xf>
    <xf numFmtId="0" fontId="33" fillId="22" borderId="19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49" fontId="5" fillId="22" borderId="1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0" fontId="5" fillId="22" borderId="12" xfId="0" applyFont="1" applyFill="1" applyBorder="1" applyAlignment="1">
      <alignment horizontal="center" vertical="top"/>
    </xf>
    <xf numFmtId="0" fontId="5" fillId="22" borderId="13" xfId="0" applyFont="1" applyFill="1" applyBorder="1" applyAlignment="1">
      <alignment horizontal="center" vertical="top"/>
    </xf>
    <xf numFmtId="0" fontId="5" fillId="22" borderId="14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168" fontId="5" fillId="0" borderId="21" xfId="0" applyNumberFormat="1" applyFont="1" applyBorder="1" applyAlignment="1" applyProtection="1">
      <alignment horizontal="center"/>
      <protection/>
    </xf>
    <xf numFmtId="168" fontId="5" fillId="0" borderId="17" xfId="0" applyNumberFormat="1" applyFont="1" applyBorder="1" applyAlignment="1" applyProtection="1">
      <alignment horizontal="center"/>
      <protection/>
    </xf>
    <xf numFmtId="168" fontId="5" fillId="0" borderId="42" xfId="0" applyNumberFormat="1" applyFont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 horizontal="center"/>
      <protection/>
    </xf>
    <xf numFmtId="0" fontId="5" fillId="20" borderId="17" xfId="0" applyFont="1" applyFill="1" applyBorder="1" applyAlignment="1" applyProtection="1">
      <alignment horizontal="center"/>
      <protection/>
    </xf>
    <xf numFmtId="0" fontId="5" fillId="20" borderId="30" xfId="0" applyFont="1" applyFill="1" applyBorder="1" applyAlignment="1" applyProtection="1">
      <alignment horizontal="center"/>
      <protection/>
    </xf>
    <xf numFmtId="0" fontId="0" fillId="0" borderId="4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168" fontId="0" fillId="0" borderId="34" xfId="0" applyNumberFormat="1" applyBorder="1" applyAlignment="1" applyProtection="1">
      <alignment horizontal="center"/>
      <protection/>
    </xf>
    <xf numFmtId="168" fontId="0" fillId="0" borderId="35" xfId="0" applyNumberFormat="1" applyBorder="1" applyAlignment="1" applyProtection="1">
      <alignment horizontal="center"/>
      <protection/>
    </xf>
    <xf numFmtId="168" fontId="0" fillId="0" borderId="36" xfId="0" applyNumberForma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168" fontId="0" fillId="0" borderId="37" xfId="0" applyNumberFormat="1" applyBorder="1" applyAlignment="1" applyProtection="1">
      <alignment horizontal="center"/>
      <protection/>
    </xf>
    <xf numFmtId="168" fontId="0" fillId="0" borderId="38" xfId="0" applyNumberForma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0" fillId="0" borderId="50" xfId="0" applyNumberFormat="1" applyFill="1" applyBorder="1" applyAlignment="1">
      <alignment horizontal="center"/>
    </xf>
    <xf numFmtId="168" fontId="0" fillId="0" borderId="51" xfId="0" applyNumberFormat="1" applyFill="1" applyBorder="1" applyAlignment="1">
      <alignment horizontal="center"/>
    </xf>
    <xf numFmtId="168" fontId="0" fillId="0" borderId="27" xfId="0" applyNumberFormat="1" applyFill="1" applyBorder="1" applyAlignment="1">
      <alignment horizontal="center"/>
    </xf>
    <xf numFmtId="0" fontId="5" fillId="22" borderId="11" xfId="0" applyFont="1" applyFill="1" applyBorder="1" applyAlignment="1">
      <alignment/>
    </xf>
    <xf numFmtId="0" fontId="0" fillId="22" borderId="11" xfId="0" applyFill="1" applyBorder="1" applyAlignment="1">
      <alignment/>
    </xf>
    <xf numFmtId="0" fontId="5" fillId="22" borderId="10" xfId="0" applyFont="1" applyFill="1" applyBorder="1" applyAlignment="1">
      <alignment horizontal="left"/>
    </xf>
    <xf numFmtId="0" fontId="5" fillId="4" borderId="52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2" borderId="51" xfId="0" applyFont="1" applyFill="1" applyBorder="1" applyAlignment="1" applyProtection="1">
      <alignment horizontal="center" vertical="center" wrapText="1"/>
      <protection/>
    </xf>
    <xf numFmtId="0" fontId="5" fillId="22" borderId="53" xfId="0" applyFont="1" applyFill="1" applyBorder="1" applyAlignment="1" applyProtection="1">
      <alignment horizontal="center" vertical="center" wrapText="1"/>
      <protection/>
    </xf>
    <xf numFmtId="0" fontId="5" fillId="22" borderId="54" xfId="0" applyFont="1" applyFill="1" applyBorder="1" applyAlignment="1" applyProtection="1">
      <alignment horizontal="center" vertical="center" wrapText="1"/>
      <protection/>
    </xf>
    <xf numFmtId="0" fontId="5" fillId="22" borderId="46" xfId="0" applyFont="1" applyFill="1" applyBorder="1" applyAlignment="1" applyProtection="1">
      <alignment horizontal="center" vertical="center" wrapText="1"/>
      <protection/>
    </xf>
    <xf numFmtId="0" fontId="5" fillId="22" borderId="55" xfId="0" applyFont="1" applyFill="1" applyBorder="1" applyAlignment="1" applyProtection="1">
      <alignment horizontal="center" vertical="center" wrapText="1"/>
      <protection/>
    </xf>
    <xf numFmtId="0" fontId="5" fillId="22" borderId="43" xfId="0" applyFont="1" applyFill="1" applyBorder="1" applyAlignment="1" applyProtection="1">
      <alignment horizontal="center" vertical="center" wrapText="1"/>
      <protection/>
    </xf>
    <xf numFmtId="0" fontId="5" fillId="22" borderId="51" xfId="0" applyFont="1" applyFill="1" applyBorder="1" applyAlignment="1">
      <alignment horizontal="center" vertical="center" wrapText="1"/>
    </xf>
    <xf numFmtId="0" fontId="5" fillId="22" borderId="53" xfId="0" applyFont="1" applyFill="1" applyBorder="1" applyAlignment="1">
      <alignment horizontal="center" vertical="center" wrapText="1"/>
    </xf>
    <xf numFmtId="0" fontId="5" fillId="22" borderId="54" xfId="0" applyFont="1" applyFill="1" applyBorder="1" applyAlignment="1">
      <alignment horizontal="center" vertical="center" wrapText="1"/>
    </xf>
    <xf numFmtId="0" fontId="5" fillId="22" borderId="56" xfId="0" applyFont="1" applyFill="1" applyBorder="1" applyAlignment="1" applyProtection="1">
      <alignment horizontal="center" vertical="center" wrapText="1"/>
      <protection/>
    </xf>
    <xf numFmtId="0" fontId="5" fillId="22" borderId="57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 vertical="center" wrapText="1"/>
      <protection/>
    </xf>
    <xf numFmtId="14" fontId="5" fillId="22" borderId="10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5" fillId="22" borderId="46" xfId="0" applyFont="1" applyFill="1" applyBorder="1" applyAlignment="1">
      <alignment horizontal="center" vertical="center"/>
    </xf>
    <xf numFmtId="0" fontId="5" fillId="22" borderId="58" xfId="0" applyFont="1" applyFill="1" applyBorder="1" applyAlignment="1">
      <alignment horizontal="center" vertical="center"/>
    </xf>
    <xf numFmtId="0" fontId="5" fillId="22" borderId="56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2" fontId="5" fillId="22" borderId="11" xfId="0" applyNumberFormat="1" applyFont="1" applyFill="1" applyBorder="1" applyAlignment="1">
      <alignment horizontal="center"/>
    </xf>
    <xf numFmtId="0" fontId="5" fillId="22" borderId="59" xfId="0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 applyProtection="1">
      <alignment horizontal="center"/>
      <protection/>
    </xf>
    <xf numFmtId="0" fontId="5" fillId="22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22" borderId="46" xfId="0" applyFont="1" applyFill="1" applyBorder="1" applyAlignment="1" applyProtection="1">
      <alignment horizontal="center"/>
      <protection/>
    </xf>
    <xf numFmtId="0" fontId="5" fillId="22" borderId="58" xfId="0" applyFont="1" applyFill="1" applyBorder="1" applyAlignment="1" applyProtection="1">
      <alignment horizontal="center"/>
      <protection/>
    </xf>
    <xf numFmtId="0" fontId="5" fillId="22" borderId="43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 applyProtection="1">
      <alignment horizontal="center"/>
      <protection/>
    </xf>
    <xf numFmtId="0" fontId="12" fillId="22" borderId="46" xfId="0" applyFont="1" applyFill="1" applyBorder="1" applyAlignment="1" applyProtection="1">
      <alignment horizontal="center" vertical="center" wrapText="1"/>
      <protection/>
    </xf>
    <xf numFmtId="0" fontId="12" fillId="22" borderId="58" xfId="0" applyFont="1" applyFill="1" applyBorder="1" applyAlignment="1" applyProtection="1">
      <alignment horizontal="center" vertical="center" wrapText="1"/>
      <protection/>
    </xf>
    <xf numFmtId="0" fontId="12" fillId="22" borderId="56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</dxf>
    <dxf>
      <fill>
        <patternFill patternType="lightGray"/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lightGray"/>
      </fill>
    </dxf>
    <dxf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Heat Cycle Temperature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0825"/>
          <c:w val="0.856"/>
          <c:h val="0.792"/>
        </c:manualLayout>
      </c:layout>
      <c:lineChart>
        <c:grouping val="standard"/>
        <c:varyColors val="0"/>
        <c:ser>
          <c:idx val="3"/>
          <c:order val="0"/>
          <c:tx>
            <c:v>C1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[0]!Sample1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[0]!Sample2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C3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[0]!Sample3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[0]!Sample4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Control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[0]!Control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Ambient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[0]!Ambient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48"/>
          <c:w val="0.611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Cycle Resistance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35"/>
          <c:w val="0.894"/>
          <c:h val="0.81875"/>
        </c:manualLayout>
      </c:layout>
      <c:lineChart>
        <c:grouping val="standard"/>
        <c:varyColors val="0"/>
        <c:ser>
          <c:idx val="1"/>
          <c:order val="0"/>
          <c:tx>
            <c:v>C1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[0]!Res1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[0]!Res2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[0]!Res3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[0]!RES4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2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(u ohms)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59"/>
          <c:w val="0.389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8</xdr:col>
      <xdr:colOff>533400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28575" y="790575"/>
        <a:ext cx="5381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8</xdr:col>
      <xdr:colOff>542925</xdr:colOff>
      <xdr:row>58</xdr:row>
      <xdr:rowOff>47625</xdr:rowOff>
    </xdr:to>
    <xdr:graphicFrame>
      <xdr:nvGraphicFramePr>
        <xdr:cNvPr id="2" name="Chart 9"/>
        <xdr:cNvGraphicFramePr/>
      </xdr:nvGraphicFramePr>
      <xdr:xfrm>
        <a:off x="28575" y="5295900"/>
        <a:ext cx="53911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RWESTB~1\LOCALS~1\Temp\notes6030C8\Test%20Results\USG\USG2-1000%20(3%20Pole)ANSI%20500%20cycle%20test%20Packet%20-%20F824%20Stability%20Test%2010-24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-AL"/>
      <sheetName val="Data Sheet -CU"/>
      <sheetName val="Cover Sheet-Summary"/>
      <sheetName val="Stability"/>
      <sheetName val="Resistance"/>
      <sheetName val="Resistance graphs"/>
      <sheetName val="Copper Loop"/>
      <sheetName val="Data Entry Sheet"/>
      <sheetName val="New stability sheet"/>
      <sheetName val="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4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10.28125" style="0" customWidth="1"/>
    <col min="4" max="4" width="10.140625" style="0" customWidth="1"/>
    <col min="5" max="5" width="10.8515625" style="0" customWidth="1"/>
    <col min="6" max="9" width="10.140625" style="0" customWidth="1"/>
  </cols>
  <sheetData>
    <row r="1" spans="1:16" ht="23.25">
      <c r="A1" s="176" t="s">
        <v>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.75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4" spans="1:3" ht="24" customHeight="1">
      <c r="A4" s="20" t="s">
        <v>33</v>
      </c>
      <c r="C4" s="138" t="s">
        <v>64</v>
      </c>
    </row>
    <row r="5" spans="1:5" ht="15.75">
      <c r="A5" s="20" t="s">
        <v>36</v>
      </c>
      <c r="C5" s="139" t="s">
        <v>41</v>
      </c>
      <c r="D5" s="174" t="s">
        <v>65</v>
      </c>
      <c r="E5" s="175"/>
    </row>
    <row r="6" spans="1:6" ht="13.5" thickBot="1">
      <c r="A6" s="1" t="s">
        <v>59</v>
      </c>
      <c r="C6" s="173" t="s">
        <v>57</v>
      </c>
      <c r="D6" s="173"/>
      <c r="E6" s="140" t="s">
        <v>70</v>
      </c>
      <c r="F6" s="147"/>
    </row>
    <row r="7" spans="1:4" ht="13.5" thickBot="1">
      <c r="A7" s="1" t="s">
        <v>13</v>
      </c>
      <c r="B7" s="1"/>
      <c r="C7" s="191"/>
      <c r="D7" s="191"/>
    </row>
    <row r="8" spans="1:4" ht="13.5" thickBot="1">
      <c r="A8" s="1" t="s">
        <v>22</v>
      </c>
      <c r="B8" s="2"/>
      <c r="C8" s="201"/>
      <c r="D8" s="201"/>
    </row>
    <row r="9" spans="1:12" ht="13.5" thickBot="1">
      <c r="A9" s="1" t="s">
        <v>17</v>
      </c>
      <c r="B9" s="1"/>
      <c r="C9" s="190"/>
      <c r="D9" s="191"/>
      <c r="L9" s="92"/>
    </row>
    <row r="10" spans="1:12" ht="13.5" thickBot="1">
      <c r="A10" s="1" t="s">
        <v>0</v>
      </c>
      <c r="C10" s="171"/>
      <c r="D10" s="172"/>
      <c r="L10" s="92"/>
    </row>
    <row r="11" spans="1:12" ht="12.75">
      <c r="A11" s="1"/>
      <c r="B11" s="131"/>
      <c r="C11" s="131"/>
      <c r="L11" s="92"/>
    </row>
    <row r="12" spans="1:12" ht="13.5" thickBot="1">
      <c r="A12" s="1" t="s">
        <v>20</v>
      </c>
      <c r="B12" s="1"/>
      <c r="C12" s="1"/>
      <c r="D12" s="130">
        <v>1</v>
      </c>
      <c r="L12" s="92"/>
    </row>
    <row r="13" spans="1:12" ht="13.5" thickBot="1">
      <c r="A13" s="1" t="s">
        <v>21</v>
      </c>
      <c r="B13" s="1"/>
      <c r="D13" s="130">
        <v>1</v>
      </c>
      <c r="L13" s="92"/>
    </row>
    <row r="14" spans="1:12" ht="13.5" thickBot="1">
      <c r="A14" s="1" t="s">
        <v>24</v>
      </c>
      <c r="B14" s="1"/>
      <c r="D14" s="124">
        <v>225</v>
      </c>
      <c r="E14" s="1" t="s">
        <v>19</v>
      </c>
      <c r="L14" s="92"/>
    </row>
    <row r="15" spans="1:12" ht="12.75">
      <c r="A15" s="1"/>
      <c r="B15" s="131"/>
      <c r="D15" s="131"/>
      <c r="L15" s="92"/>
    </row>
    <row r="16" spans="1:12" ht="12.75">
      <c r="A16" s="1"/>
      <c r="B16" s="131"/>
      <c r="D16" s="131"/>
      <c r="L16" s="92"/>
    </row>
    <row r="17" spans="1:12" ht="12.75">
      <c r="A17" s="193" t="s">
        <v>23</v>
      </c>
      <c r="B17" s="193"/>
      <c r="D17" s="192" t="s">
        <v>54</v>
      </c>
      <c r="E17" s="192"/>
      <c r="L17" s="92"/>
    </row>
    <row r="18" spans="1:12" ht="13.5" thickBot="1">
      <c r="A18" s="1" t="s">
        <v>14</v>
      </c>
      <c r="B18" s="133"/>
      <c r="D18" s="1" t="s">
        <v>14</v>
      </c>
      <c r="E18" s="125" t="s">
        <v>49</v>
      </c>
      <c r="G18" s="2"/>
      <c r="H18" s="44" t="s">
        <v>18</v>
      </c>
      <c r="I18" s="1" t="s">
        <v>25</v>
      </c>
      <c r="J18" s="1"/>
      <c r="K18" s="126" t="s">
        <v>49</v>
      </c>
      <c r="L18" s="92"/>
    </row>
    <row r="19" spans="1:12" ht="13.5" thickBot="1">
      <c r="A19" s="1" t="s">
        <v>15</v>
      </c>
      <c r="B19" s="141" t="s">
        <v>34</v>
      </c>
      <c r="C19" s="1"/>
      <c r="D19" s="1" t="s">
        <v>15</v>
      </c>
      <c r="E19" s="127" t="s">
        <v>49</v>
      </c>
      <c r="F19" s="2"/>
      <c r="G19" s="2"/>
      <c r="I19" s="1" t="s">
        <v>55</v>
      </c>
      <c r="K19" s="128" t="s">
        <v>71</v>
      </c>
      <c r="L19" s="2"/>
    </row>
    <row r="20" spans="1:28" ht="26.25" customHeight="1" thickBot="1">
      <c r="A20" s="86" t="s">
        <v>51</v>
      </c>
      <c r="B20" s="133" t="s">
        <v>67</v>
      </c>
      <c r="C20" s="1"/>
      <c r="D20" s="86" t="s">
        <v>51</v>
      </c>
      <c r="E20" s="125" t="s">
        <v>49</v>
      </c>
      <c r="F20" s="2"/>
      <c r="G20" s="2"/>
      <c r="I20" s="1" t="s">
        <v>26</v>
      </c>
      <c r="J20" s="1"/>
      <c r="K20" s="129" t="s">
        <v>49</v>
      </c>
      <c r="L20" s="2"/>
      <c r="N20" s="23"/>
      <c r="O20" s="23"/>
      <c r="P20" s="23"/>
      <c r="Q20" s="23"/>
      <c r="R20" s="23"/>
      <c r="S20" s="23"/>
      <c r="T20" s="23"/>
      <c r="U20" s="23"/>
      <c r="AB20" s="22"/>
    </row>
    <row r="21" spans="1:21" ht="16.5" thickBot="1">
      <c r="A21" s="1" t="s">
        <v>53</v>
      </c>
      <c r="B21" s="133" t="s">
        <v>68</v>
      </c>
      <c r="C21" s="1"/>
      <c r="D21" s="1" t="s">
        <v>53</v>
      </c>
      <c r="E21" s="125" t="s">
        <v>49</v>
      </c>
      <c r="F21" s="2"/>
      <c r="G21" s="2"/>
      <c r="J21" s="1"/>
      <c r="K21" s="1" t="s">
        <v>49</v>
      </c>
      <c r="L21" s="2"/>
      <c r="O21" s="20"/>
      <c r="Q21" s="43"/>
      <c r="R21" s="20"/>
      <c r="S21" s="20"/>
      <c r="T21" s="20"/>
      <c r="U21" s="20"/>
    </row>
    <row r="22" spans="1:21" ht="13.5" thickBot="1">
      <c r="A22" s="1" t="s">
        <v>16</v>
      </c>
      <c r="B22" s="133" t="s">
        <v>69</v>
      </c>
      <c r="C22" s="1"/>
      <c r="D22" s="1" t="s">
        <v>16</v>
      </c>
      <c r="E22" s="125" t="s">
        <v>49</v>
      </c>
      <c r="F22" s="90"/>
      <c r="G22" s="92"/>
      <c r="H22" s="1"/>
      <c r="I22" s="2"/>
      <c r="J22" s="1"/>
      <c r="K22" s="1"/>
      <c r="L22" s="1"/>
      <c r="U22" s="1"/>
    </row>
    <row r="23" spans="2:21" ht="12.75">
      <c r="B23" s="142"/>
      <c r="U23" s="1"/>
    </row>
    <row r="24" spans="1:21" ht="13.5" thickBot="1">
      <c r="A24" s="112">
        <f>IF($C$6="Compression","Crimping Tool","")</f>
      </c>
      <c r="B24" s="143"/>
      <c r="U24" s="1"/>
    </row>
    <row r="25" spans="1:21" ht="13.5" thickBot="1">
      <c r="A25" s="112">
        <f>IF($C$6="Compression","Die Number","")</f>
      </c>
      <c r="B25" s="133"/>
      <c r="U25" s="1"/>
    </row>
    <row r="26" spans="1:21" ht="13.5" thickBot="1">
      <c r="A26" s="112">
        <f>IF($C$6="Compression","Number of Crimps","")</f>
      </c>
      <c r="C26" s="112">
        <f>IF($C$6="Compression","Main","")</f>
      </c>
      <c r="D26" s="132" t="s">
        <v>49</v>
      </c>
      <c r="E26" s="44">
        <f>IF($C$6="Compression","Tap","")</f>
      </c>
      <c r="F26" s="132" t="s">
        <v>49</v>
      </c>
      <c r="H26" s="1"/>
      <c r="U26" s="1"/>
    </row>
    <row r="27" spans="4:21" ht="12.75">
      <c r="D27" s="2"/>
      <c r="E27" s="1"/>
      <c r="F27" s="1"/>
      <c r="G27" s="2"/>
      <c r="H27" s="90"/>
      <c r="J27" s="1"/>
      <c r="K27" s="2"/>
      <c r="L27" s="1"/>
      <c r="M27" s="1"/>
      <c r="N27" s="1"/>
      <c r="O27" s="1"/>
      <c r="U27" s="1"/>
    </row>
    <row r="28" spans="1:21" ht="12.75">
      <c r="A28" s="134"/>
      <c r="B28" s="134"/>
      <c r="I28" s="1"/>
      <c r="N28" s="1"/>
      <c r="R28" s="1"/>
      <c r="S28" s="1"/>
      <c r="T28" s="1"/>
      <c r="U28" s="1"/>
    </row>
    <row r="29" spans="1:21" ht="13.5" thickBot="1">
      <c r="A29" s="135" t="str">
        <f>IF($C$6="Compression","","Number of screws(bolts) per conductor")</f>
        <v>Number of screws(bolts) per conductor</v>
      </c>
      <c r="B29" s="136"/>
      <c r="C29" s="136"/>
      <c r="D29" s="136"/>
      <c r="E29" s="126"/>
      <c r="F29" s="136"/>
      <c r="G29" s="136"/>
      <c r="H29" s="136"/>
      <c r="I29" s="136"/>
      <c r="J29" s="1"/>
      <c r="K29" s="1"/>
      <c r="L29" s="1"/>
      <c r="M29" s="1"/>
      <c r="N29" s="1"/>
      <c r="R29" s="1"/>
      <c r="S29" s="1"/>
      <c r="T29" s="1"/>
      <c r="U29" s="1"/>
    </row>
    <row r="30" spans="1:21" ht="13.5" thickBot="1">
      <c r="A30" s="135" t="str">
        <f>IF($C$6="Compression","","Screw (bolt) size")</f>
        <v>Screw (bolt) size</v>
      </c>
      <c r="B30" s="134"/>
      <c r="C30" s="133"/>
      <c r="G30" s="110"/>
      <c r="H30" s="2"/>
      <c r="I30" s="200"/>
      <c r="J30" s="200"/>
      <c r="K30" s="200"/>
      <c r="L30" s="200"/>
      <c r="M30" s="200"/>
      <c r="N30" s="200"/>
      <c r="R30" s="1"/>
      <c r="S30" s="1"/>
      <c r="T30" s="1"/>
      <c r="U30" s="1"/>
    </row>
    <row r="31" spans="1:21" ht="13.5" thickBot="1">
      <c r="A31" s="137" t="str">
        <f>IF($C$6="Compression","","Torque (in-lb)")</f>
        <v>Torque (in-lb)</v>
      </c>
      <c r="B31" s="134"/>
      <c r="C31" s="124"/>
      <c r="M31" s="111"/>
      <c r="N31" s="111"/>
      <c r="R31" s="1"/>
      <c r="S31" s="1"/>
      <c r="T31" s="1"/>
      <c r="U31" s="1"/>
    </row>
    <row r="32" spans="10:21" ht="12.75">
      <c r="J32" s="111"/>
      <c r="K32" s="111"/>
      <c r="L32" s="111"/>
      <c r="M32" s="111"/>
      <c r="N32" s="111"/>
      <c r="R32" s="1"/>
      <c r="S32" s="1"/>
      <c r="T32" s="1"/>
      <c r="U32" s="1"/>
    </row>
    <row r="33" spans="3:11" ht="13.5" thickBot="1">
      <c r="C33">
        <f>IF(AND(C4="AA",C5="CCST"),"This test Method can not use AA class Test","")</f>
      </c>
      <c r="K33" s="45" t="s">
        <v>48</v>
      </c>
    </row>
    <row r="34" spans="1:15" ht="12.75" customHeight="1" thickBot="1">
      <c r="A34" s="178" t="s">
        <v>38</v>
      </c>
      <c r="B34" s="181" t="s">
        <v>60</v>
      </c>
      <c r="C34" s="184" t="s">
        <v>61</v>
      </c>
      <c r="D34" s="194" t="s">
        <v>6</v>
      </c>
      <c r="E34" s="195"/>
      <c r="F34" s="195"/>
      <c r="G34" s="196"/>
      <c r="H34" s="187" t="s">
        <v>30</v>
      </c>
      <c r="I34" s="181" t="s">
        <v>29</v>
      </c>
      <c r="J34" s="178" t="s">
        <v>28</v>
      </c>
      <c r="K34" s="202" t="s">
        <v>1</v>
      </c>
      <c r="L34" s="203"/>
      <c r="M34" s="203"/>
      <c r="N34" s="203"/>
      <c r="O34" s="204"/>
    </row>
    <row r="35" spans="1:15" ht="13.5" thickBot="1">
      <c r="A35" s="179"/>
      <c r="B35" s="182"/>
      <c r="C35" s="185"/>
      <c r="D35" s="197"/>
      <c r="E35" s="198"/>
      <c r="F35" s="198"/>
      <c r="G35" s="199"/>
      <c r="H35" s="188"/>
      <c r="I35" s="182"/>
      <c r="J35" s="179"/>
      <c r="K35" s="185" t="s">
        <v>62</v>
      </c>
      <c r="L35" s="119" t="s">
        <v>7</v>
      </c>
      <c r="M35" s="120"/>
      <c r="N35" s="120"/>
      <c r="O35" s="121"/>
    </row>
    <row r="36" spans="1:15" ht="38.25" customHeight="1" thickBot="1">
      <c r="A36" s="180"/>
      <c r="B36" s="183"/>
      <c r="C36" s="186"/>
      <c r="D36" s="144" t="s">
        <v>2</v>
      </c>
      <c r="E36" s="145" t="s">
        <v>3</v>
      </c>
      <c r="F36" s="145" t="s">
        <v>4</v>
      </c>
      <c r="G36" s="146" t="s">
        <v>5</v>
      </c>
      <c r="H36" s="189"/>
      <c r="I36" s="183"/>
      <c r="J36" s="180"/>
      <c r="K36" s="186"/>
      <c r="L36" s="5" t="s">
        <v>2</v>
      </c>
      <c r="M36" s="6" t="s">
        <v>3</v>
      </c>
      <c r="N36" s="6" t="s">
        <v>4</v>
      </c>
      <c r="O36" s="7" t="s">
        <v>5</v>
      </c>
    </row>
    <row r="37" spans="1:15" ht="12.75">
      <c r="A37" s="122">
        <v>1</v>
      </c>
      <c r="B37" s="123" t="str">
        <f>IF(H19=5,"95-105",IF($C$5="CCST",(IF($C$4="AA","N/A","5-7")),(IF($C$4="AA","25","25-30"))))</f>
        <v>25-30</v>
      </c>
      <c r="C37" s="33"/>
      <c r="D37" s="114"/>
      <c r="E37" s="35"/>
      <c r="F37" s="41"/>
      <c r="G37" s="116"/>
      <c r="H37" s="114"/>
      <c r="I37" s="102"/>
      <c r="J37" s="103">
        <f aca="true" t="shared" si="0" ref="J37:J47">C37</f>
        <v>0</v>
      </c>
      <c r="K37" s="78"/>
      <c r="L37" s="93"/>
      <c r="M37" s="93"/>
      <c r="N37" s="93"/>
      <c r="O37" s="100"/>
    </row>
    <row r="38" spans="1:15" ht="12.75">
      <c r="A38" s="83">
        <v>2</v>
      </c>
      <c r="B38" s="118" t="str">
        <f>IF(H19=5,"120-130",IF($C$5="CCST",(IF($C$4="AA","N/A","13-17")),(IF($C$4="AA","45","45-55"))))</f>
        <v>45-55</v>
      </c>
      <c r="C38" s="31"/>
      <c r="D38" s="115"/>
      <c r="E38" s="24"/>
      <c r="F38" s="42"/>
      <c r="G38" s="117"/>
      <c r="H38" s="115"/>
      <c r="I38" s="99"/>
      <c r="J38" s="103">
        <f t="shared" si="0"/>
        <v>0</v>
      </c>
      <c r="K38" s="94"/>
      <c r="L38" s="95"/>
      <c r="M38" s="95"/>
      <c r="N38" s="95"/>
      <c r="O38" s="101"/>
    </row>
    <row r="39" spans="1:15" ht="12.75">
      <c r="A39" s="83">
        <v>3</v>
      </c>
      <c r="B39" s="118" t="str">
        <f>IF(H19=5,"145-155",IF($C$5="CCST",(IF($C$4="AA","N/A","23-27")),(IF($C$4="AA","65","70-80"))))</f>
        <v>70-80</v>
      </c>
      <c r="C39" s="31"/>
      <c r="D39" s="115"/>
      <c r="E39" s="24"/>
      <c r="F39" s="42"/>
      <c r="G39" s="117"/>
      <c r="H39" s="115"/>
      <c r="I39" s="99"/>
      <c r="J39" s="103">
        <f t="shared" si="0"/>
        <v>0</v>
      </c>
      <c r="K39" s="94"/>
      <c r="L39" s="95"/>
      <c r="M39" s="95"/>
      <c r="N39" s="95"/>
      <c r="O39" s="101"/>
    </row>
    <row r="40" spans="1:15" ht="12.75">
      <c r="A40" s="83">
        <v>4</v>
      </c>
      <c r="B40" s="118" t="str">
        <f>IF(H19=5,"170-180",IF($C$5="CCST",(IF($C$4="AA","N/A","35-39")),(IF($C$4="AA","85","95-105"))))</f>
        <v>95-105</v>
      </c>
      <c r="C40" s="31"/>
      <c r="D40" s="115"/>
      <c r="E40" s="24"/>
      <c r="F40" s="42"/>
      <c r="G40" s="117"/>
      <c r="H40" s="115"/>
      <c r="I40" s="99"/>
      <c r="J40" s="103">
        <f t="shared" si="0"/>
        <v>0</v>
      </c>
      <c r="K40" s="94"/>
      <c r="L40" s="95"/>
      <c r="M40" s="95"/>
      <c r="N40" s="95"/>
      <c r="O40" s="101"/>
    </row>
    <row r="41" spans="1:15" ht="12.75">
      <c r="A41" s="83">
        <v>5</v>
      </c>
      <c r="B41" s="118" t="str">
        <f>IF(H19=5,"195-205",IF($C$5="CCST",(IF($C$4="AA","N/A","48-52")),(IF(B20="AA","105","120-130"))))</f>
        <v>120-130</v>
      </c>
      <c r="C41" s="31"/>
      <c r="D41" s="115"/>
      <c r="E41" s="24"/>
      <c r="F41" s="42"/>
      <c r="G41" s="117"/>
      <c r="H41" s="115"/>
      <c r="I41" s="99"/>
      <c r="J41" s="103">
        <f t="shared" si="0"/>
        <v>0</v>
      </c>
      <c r="K41" s="94"/>
      <c r="L41" s="95"/>
      <c r="M41" s="95"/>
      <c r="N41" s="95"/>
      <c r="O41" s="101"/>
    </row>
    <row r="42" spans="1:15" ht="12.75">
      <c r="A42" s="83">
        <f>IF($C$4="B",6,IF($C$4="A",6,IF($C$4="AA",6,"")))</f>
        <v>6</v>
      </c>
      <c r="B42" s="118" t="str">
        <f>IF(H19=5,"235-245",IF($C$5="CCST",(IF($C$4="AA","N/A",(IF($C$4="C","Blank",(IF($C$4="AA","125","53-61")))))),(IF($C$4="C","Blank",(IF($C$4="AA","125","160-170"))))))</f>
        <v>160-170</v>
      </c>
      <c r="C42" s="31"/>
      <c r="D42" s="115"/>
      <c r="E42" s="24"/>
      <c r="F42" s="42"/>
      <c r="G42" s="117"/>
      <c r="H42" s="115"/>
      <c r="I42" s="99"/>
      <c r="J42" s="103">
        <f t="shared" si="0"/>
        <v>0</v>
      </c>
      <c r="K42" s="94"/>
      <c r="L42" s="95"/>
      <c r="M42" s="95"/>
      <c r="N42" s="95"/>
      <c r="O42" s="101"/>
    </row>
    <row r="43" spans="1:15" ht="12.75">
      <c r="A43" s="83">
        <f>IF($C$4="B",7,IF($C$4="A",7,IF($C$4="AA",7,"")))</f>
        <v>7</v>
      </c>
      <c r="B43" s="118" t="str">
        <f>IF(H19=5,"275-285",IF($C$5="CCST",(IF($C$4="AA","N/A",(IF($C$4="C","Blank",(IF($D$29="AA","145","66-70")))))),(IF($C$4="C","Blank",(IF($C$4="AA","145","200-210"))))))</f>
        <v>200-210</v>
      </c>
      <c r="C43" s="31"/>
      <c r="D43" s="115"/>
      <c r="E43" s="24"/>
      <c r="F43" s="42"/>
      <c r="G43" s="117"/>
      <c r="H43" s="115"/>
      <c r="I43" s="99"/>
      <c r="J43" s="103">
        <f t="shared" si="0"/>
        <v>0</v>
      </c>
      <c r="K43" s="94"/>
      <c r="L43" s="95"/>
      <c r="M43" s="95"/>
      <c r="N43" s="95"/>
      <c r="O43" s="101"/>
    </row>
    <row r="44" spans="1:15" ht="12.75">
      <c r="A44" s="83">
        <f>IF($C$4="B",8,IF($C$4="A",8,IF($C$4="AA",8,"")))</f>
        <v>8</v>
      </c>
      <c r="B44" s="118" t="str">
        <f>IF(H19=5,"320-330",IF($C$5="CCST",(IF($C$4="AA","N/A",(IF($C$4="C","Blank",(IF($C$4="AA","165","73-77")))))),(IF($C$4="C","Blank",(IF($C$4="AA","165","245-255"))))))</f>
        <v>245-255</v>
      </c>
      <c r="C44" s="31"/>
      <c r="D44" s="115"/>
      <c r="E44" s="24"/>
      <c r="F44" s="42"/>
      <c r="G44" s="117"/>
      <c r="H44" s="115"/>
      <c r="I44" s="99"/>
      <c r="J44" s="103">
        <f t="shared" si="0"/>
        <v>0</v>
      </c>
      <c r="K44" s="94"/>
      <c r="L44" s="95"/>
      <c r="M44" s="95"/>
      <c r="N44" s="95"/>
      <c r="O44" s="101"/>
    </row>
    <row r="45" spans="1:15" ht="12.75">
      <c r="A45" s="83">
        <f>IF($C$4="A",9,IF($C$4="AA",9,""))</f>
        <v>9</v>
      </c>
      <c r="B45" s="118" t="str">
        <f>IF(H19=5,"395-405",IF($C$5="CCST",(IF($C$4="AA","N/A",(IF($C$4&lt;&gt;"A","Blank",(IF($C$4="AA","185","81-85")))))),(IF($C$4="AA","185",(IF($C$4&lt;&gt;"A","Blank","320-330"))))))</f>
        <v>320-330</v>
      </c>
      <c r="C45" s="31"/>
      <c r="D45" s="115"/>
      <c r="E45" s="24"/>
      <c r="F45" s="42"/>
      <c r="G45" s="117"/>
      <c r="H45" s="115"/>
      <c r="I45" s="99"/>
      <c r="J45" s="103">
        <f t="shared" si="0"/>
        <v>0</v>
      </c>
      <c r="K45" s="94"/>
      <c r="L45" s="95"/>
      <c r="M45" s="95"/>
      <c r="N45" s="95"/>
      <c r="O45" s="101"/>
    </row>
    <row r="46" spans="1:15" ht="12.75">
      <c r="A46" s="83">
        <f>IF($C$4="A",10,IF($C$4="AA",10,""))</f>
        <v>10</v>
      </c>
      <c r="B46" s="118" t="str">
        <f>IF(H19=5,"475-485",IF($C$5="CCST",(IF($C$4="AA","N/A",(IF($C$4&lt;&gt;"A","Blank",(IF($C$4="AA","205","89-93")))))),(IF($C$4="AA","205",(IF($C$4&lt;&gt;"A","Blank","400-410"))))))</f>
        <v>400-410</v>
      </c>
      <c r="C46" s="31"/>
      <c r="D46" s="115"/>
      <c r="E46" s="24"/>
      <c r="F46" s="42"/>
      <c r="G46" s="117"/>
      <c r="H46" s="115"/>
      <c r="I46" s="99"/>
      <c r="J46" s="103">
        <f t="shared" si="0"/>
        <v>0</v>
      </c>
      <c r="K46" s="94"/>
      <c r="L46" s="95"/>
      <c r="M46" s="95"/>
      <c r="N46" s="95"/>
      <c r="O46" s="101"/>
    </row>
    <row r="47" spans="1:15" ht="12.75">
      <c r="A47" s="83">
        <f>IF($C$4="A",11,IF($C$4="AA",11,""))</f>
        <v>11</v>
      </c>
      <c r="B47" s="118" t="str">
        <f>IF(H19=5,"570-580",IF($C$5="CCST",(IF($C$4="AA","N/A",(IF($C$4&lt;&gt;"A","Blank",(IF($C$4="AA","225","98-102")))))),(IF($C$4="AA","225",(IF($C$4&lt;&gt;"A","Blank","495-505"))))))</f>
        <v>495-505</v>
      </c>
      <c r="C47" s="31"/>
      <c r="D47" s="115"/>
      <c r="E47" s="24"/>
      <c r="F47" s="42"/>
      <c r="G47" s="117"/>
      <c r="H47" s="115"/>
      <c r="I47" s="99"/>
      <c r="J47" s="103">
        <f t="shared" si="0"/>
        <v>0</v>
      </c>
      <c r="K47" s="94"/>
      <c r="L47" s="95"/>
      <c r="M47" s="95"/>
      <c r="N47" s="95"/>
      <c r="O47" s="101"/>
    </row>
    <row r="49" spans="2:3" ht="12.75" customHeight="1">
      <c r="B49" s="1"/>
      <c r="C49" s="1"/>
    </row>
  </sheetData>
  <sheetProtection/>
  <mergeCells count="19">
    <mergeCell ref="K35:K36"/>
    <mergeCell ref="D17:E17"/>
    <mergeCell ref="A17:B17"/>
    <mergeCell ref="D34:G35"/>
    <mergeCell ref="I30:N30"/>
    <mergeCell ref="C7:D7"/>
    <mergeCell ref="J34:J36"/>
    <mergeCell ref="C8:D8"/>
    <mergeCell ref="K34:O34"/>
    <mergeCell ref="C6:D6"/>
    <mergeCell ref="D5:E5"/>
    <mergeCell ref="A1:P1"/>
    <mergeCell ref="A2:P2"/>
    <mergeCell ref="A34:A36"/>
    <mergeCell ref="B34:B36"/>
    <mergeCell ref="C34:C36"/>
    <mergeCell ref="I34:I36"/>
    <mergeCell ref="H34:H36"/>
    <mergeCell ref="C9:D9"/>
  </mergeCells>
  <conditionalFormatting sqref="D37:G47">
    <cfRule type="cellIs" priority="1" dxfId="1" operator="greaterThan" stopIfTrue="1">
      <formula>$H37</formula>
    </cfRule>
  </conditionalFormatting>
  <conditionalFormatting sqref="B24">
    <cfRule type="expression" priority="2" dxfId="7" stopIfTrue="1">
      <formula>$C$6=Mechanical</formula>
    </cfRule>
  </conditionalFormatting>
  <conditionalFormatting sqref="A37:A47">
    <cfRule type="cellIs" priority="3" dxfId="2" operator="equal" stopIfTrue="1">
      <formula>""</formula>
    </cfRule>
  </conditionalFormatting>
  <conditionalFormatting sqref="C33">
    <cfRule type="cellIs" priority="4" dxfId="1" operator="equal" stopIfTrue="1">
      <formula>"This test Method can not use AA class Test"</formula>
    </cfRule>
  </conditionalFormatting>
  <dataValidations count="5">
    <dataValidation type="list" allowBlank="1" showInputMessage="1" showErrorMessage="1" sqref="G30">
      <formula1>"!""type"""</formula1>
    </dataValidation>
    <dataValidation type="list" allowBlank="1" showInputMessage="1" showErrorMessage="1" promptTitle="Wire Type" prompt="Select Wire Type" sqref="E19 B19">
      <formula1>Wire_Type</formula1>
    </dataValidation>
    <dataValidation type="list" allowBlank="1" showInputMessage="1" showErrorMessage="1" sqref="C6:D6">
      <formula1>Type</formula1>
    </dataValidation>
    <dataValidation type="list" allowBlank="1" showInputMessage="1" showErrorMessage="1" sqref="C4">
      <formula1>Test_Classes</formula1>
    </dataValidation>
    <dataValidation type="list" allowBlank="1" showInputMessage="1" showErrorMessage="1" sqref="Q21 C5">
      <formula1>Test_Methods</formula1>
    </dataValidation>
  </dataValidations>
  <printOptions/>
  <pageMargins left="0.75" right="0.75" top="1" bottom="1" header="0.5" footer="0.5"/>
  <pageSetup fitToHeight="1" fitToWidth="1" horizontalDpi="300" verticalDpi="300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4.8515625" style="0" customWidth="1"/>
    <col min="2" max="2" width="11.57421875" style="0" customWidth="1"/>
    <col min="4" max="4" width="8.57421875" style="0" customWidth="1"/>
    <col min="5" max="5" width="9.8515625" style="0" customWidth="1"/>
    <col min="6" max="16" width="8.57421875" style="0" customWidth="1"/>
  </cols>
  <sheetData>
    <row r="1" spans="1:16" ht="18">
      <c r="A1" s="215" t="s">
        <v>63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5" ht="21" customHeight="1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6" ht="15.75">
      <c r="A3" s="20" t="s">
        <v>33</v>
      </c>
      <c r="B3" s="20"/>
      <c r="C3" s="34" t="str">
        <f>'Data Entry Sheet'!C4</f>
        <v>A</v>
      </c>
      <c r="D3" s="20"/>
      <c r="J3" s="20"/>
      <c r="K3" s="20"/>
      <c r="L3" s="20"/>
      <c r="M3" s="20" t="s">
        <v>36</v>
      </c>
      <c r="N3" s="20"/>
      <c r="O3" s="206" t="str">
        <f>'Data Entry Sheet'!C5</f>
        <v>CCT</v>
      </c>
      <c r="P3" s="206"/>
    </row>
    <row r="4" spans="1:15" ht="13.5" thickBot="1">
      <c r="A4" s="1" t="s">
        <v>13</v>
      </c>
      <c r="B4" s="1"/>
      <c r="C4" s="212">
        <f>'Data Entry Sheet'!C7:D7</f>
        <v>0</v>
      </c>
      <c r="D4" s="212"/>
      <c r="E4" s="1" t="s">
        <v>22</v>
      </c>
      <c r="F4" s="2"/>
      <c r="G4" s="213">
        <f>'Data Entry Sheet'!C8</f>
        <v>0</v>
      </c>
      <c r="H4" s="213"/>
      <c r="I4" s="1" t="s">
        <v>17</v>
      </c>
      <c r="J4" s="1"/>
      <c r="K4" s="213">
        <v>39882</v>
      </c>
      <c r="L4" s="213"/>
      <c r="M4" s="1" t="s">
        <v>0</v>
      </c>
      <c r="N4" s="212">
        <f>'Data Entry Sheet'!C10:C10</f>
        <v>0</v>
      </c>
      <c r="O4" s="212"/>
    </row>
    <row r="5" spans="1:12" ht="13.5" thickBot="1">
      <c r="A5" s="1" t="s">
        <v>23</v>
      </c>
      <c r="B5" s="1" t="s">
        <v>14</v>
      </c>
      <c r="C5" s="84">
        <f>'Data Entry Sheet'!B18</f>
        <v>0</v>
      </c>
      <c r="D5" s="1" t="s">
        <v>54</v>
      </c>
      <c r="E5" s="1" t="s">
        <v>14</v>
      </c>
      <c r="F5" s="89" t="str">
        <f>'Data Entry Sheet'!E18</f>
        <v> </v>
      </c>
      <c r="H5" s="2"/>
      <c r="I5" s="44" t="s">
        <v>18</v>
      </c>
      <c r="J5" s="1" t="s">
        <v>25</v>
      </c>
      <c r="K5" s="1"/>
      <c r="L5" s="3" t="str">
        <f>'Data Entry Sheet'!K18</f>
        <v> </v>
      </c>
    </row>
    <row r="6" spans="1:15" ht="13.5" thickBot="1">
      <c r="A6" s="1"/>
      <c r="B6" s="1" t="s">
        <v>15</v>
      </c>
      <c r="C6" s="26" t="str">
        <f>'Data Entry Sheet'!B19</f>
        <v>AL</v>
      </c>
      <c r="D6" s="1"/>
      <c r="E6" s="1" t="s">
        <v>15</v>
      </c>
      <c r="F6" s="91" t="str">
        <f>'Data Entry Sheet'!E19</f>
        <v> </v>
      </c>
      <c r="G6" s="2"/>
      <c r="H6" s="2"/>
      <c r="J6" s="1" t="s">
        <v>55</v>
      </c>
      <c r="L6" s="1" t="str">
        <f>'Data Entry Sheet'!K19</f>
        <v>  </v>
      </c>
      <c r="M6" s="3"/>
      <c r="O6" s="2"/>
    </row>
    <row r="7" spans="1:15" ht="13.5" thickBot="1">
      <c r="A7" s="1"/>
      <c r="B7" s="86" t="s">
        <v>51</v>
      </c>
      <c r="C7" s="87" t="str">
        <f>'Data Entry Sheet'!B20</f>
        <v>19</v>
      </c>
      <c r="D7" s="1"/>
      <c r="E7" s="86" t="s">
        <v>51</v>
      </c>
      <c r="F7" s="88" t="str">
        <f>'Data Entry Sheet'!E20</f>
        <v> </v>
      </c>
      <c r="G7" s="2"/>
      <c r="H7" s="2"/>
      <c r="J7" s="1" t="s">
        <v>26</v>
      </c>
      <c r="K7" s="1"/>
      <c r="L7" s="4" t="str">
        <f>'Data Entry Sheet'!K20</f>
        <v> </v>
      </c>
      <c r="M7" s="3"/>
      <c r="O7" s="2"/>
    </row>
    <row r="8" spans="1:15" ht="13.5" thickBot="1">
      <c r="A8" s="1"/>
      <c r="B8" s="1" t="s">
        <v>53</v>
      </c>
      <c r="C8" s="89" t="str">
        <f>'Data Entry Sheet'!B21</f>
        <v>USE</v>
      </c>
      <c r="D8" s="1"/>
      <c r="E8" s="1" t="s">
        <v>53</v>
      </c>
      <c r="F8" s="89" t="str">
        <f>'Data Entry Sheet'!E21</f>
        <v> </v>
      </c>
      <c r="G8" s="2"/>
      <c r="H8" s="2"/>
      <c r="K8" s="1"/>
      <c r="L8" s="1"/>
      <c r="M8" s="1"/>
      <c r="N8" s="1"/>
      <c r="O8" s="92"/>
    </row>
    <row r="9" spans="1:14" ht="13.5" thickBot="1">
      <c r="A9" s="1"/>
      <c r="B9" s="1" t="s">
        <v>16</v>
      </c>
      <c r="C9" s="3" t="str">
        <f>'Data Entry Sheet'!B22</f>
        <v>12</v>
      </c>
      <c r="D9" s="1"/>
      <c r="E9" s="1" t="s">
        <v>16</v>
      </c>
      <c r="F9" s="3" t="str">
        <f>'Data Entry Sheet'!E22</f>
        <v> </v>
      </c>
      <c r="G9" s="90"/>
      <c r="H9" s="92"/>
      <c r="I9" s="1"/>
      <c r="J9" s="2"/>
      <c r="K9" s="1"/>
      <c r="L9" s="1"/>
      <c r="M9" s="1"/>
      <c r="N9" s="1"/>
    </row>
    <row r="10" spans="1:14" ht="12.75">
      <c r="A10" s="1"/>
      <c r="B10" s="1"/>
      <c r="C10" s="2"/>
      <c r="D10" s="1"/>
      <c r="E10" s="1"/>
      <c r="F10" s="2"/>
      <c r="G10" s="90"/>
      <c r="I10" s="1"/>
      <c r="J10" s="2"/>
      <c r="K10" s="1"/>
      <c r="L10" s="1"/>
      <c r="M10" s="1"/>
      <c r="N10" s="1"/>
    </row>
    <row r="11" spans="1:13" ht="13.5" thickBot="1">
      <c r="A11" s="1" t="s">
        <v>20</v>
      </c>
      <c r="B11" s="1"/>
      <c r="C11" s="1"/>
      <c r="D11" s="104">
        <f>'Data Entry Sheet'!D12</f>
        <v>1</v>
      </c>
      <c r="E11" s="1" t="s">
        <v>21</v>
      </c>
      <c r="F11" s="1"/>
      <c r="G11" s="104">
        <f>'Data Entry Sheet'!D13</f>
        <v>1</v>
      </c>
      <c r="H11" s="1"/>
      <c r="I11" s="1" t="s">
        <v>24</v>
      </c>
      <c r="J11" s="1"/>
      <c r="K11" s="85">
        <f>'Data Entry Sheet'!D14</f>
        <v>225</v>
      </c>
      <c r="L11" s="1" t="s">
        <v>19</v>
      </c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thickBot="1">
      <c r="A13" s="1" t="s">
        <v>59</v>
      </c>
      <c r="B13" s="212" t="str">
        <f>'Data Entry Sheet'!C6</f>
        <v>Mechanical </v>
      </c>
      <c r="C13" s="212"/>
      <c r="G13" s="1"/>
      <c r="H13" s="200"/>
      <c r="I13" s="200"/>
      <c r="J13" s="200"/>
      <c r="K13" s="200"/>
      <c r="L13" s="200"/>
      <c r="M13" s="200"/>
    </row>
    <row r="14" spans="1:13" ht="13.5" thickBot="1">
      <c r="A14" s="1" t="str">
        <f>IF($B$13="compression",'Data Entry Sheet'!A24,'Data Entry Sheet'!A29)</f>
        <v>Number of screws(bolts) per conductor</v>
      </c>
      <c r="B14" s="105"/>
      <c r="C14" s="105"/>
      <c r="D14" s="1">
        <f>IF($B$13="compression",'Data Entry Sheet'!B24,'Data Entry Sheet'!E29)</f>
        <v>0</v>
      </c>
      <c r="E14" s="1"/>
      <c r="F14" s="1" t="str">
        <f>IF($B$13="compression",'Data Entry Sheet'!A25,'Data Entry Sheet'!A30)</f>
        <v>Screw (bolt) size</v>
      </c>
      <c r="G14" s="1"/>
      <c r="H14" s="3">
        <f>IF($B$13="compression",'Data Entry Sheet'!B25,'Data Entry Sheet'!C30)</f>
        <v>0</v>
      </c>
      <c r="I14" s="1" t="str">
        <f>IF($B$13="compression","",'Data Entry Sheet'!A31)</f>
        <v>Torque (in-lb)</v>
      </c>
      <c r="J14" s="110"/>
      <c r="K14" s="105">
        <f>IF($B$13="compression"," ",'Data Entry Sheet'!C31)</f>
        <v>0</v>
      </c>
      <c r="L14" s="111"/>
      <c r="M14" s="111"/>
    </row>
    <row r="15" spans="1:14" ht="13.5" thickBot="1">
      <c r="A15" s="1" t="str">
        <f>IF($B$13="compression",'Data Entry Sheet'!A25,'Data Entry Sheet'!A30)</f>
        <v>Screw (bolt) size</v>
      </c>
      <c r="B15" s="1"/>
      <c r="C15" s="1">
        <f>'Data Entry Sheet'!C26</f>
      </c>
      <c r="D15" s="4" t="str">
        <f>'Data Entry Sheet'!D26</f>
        <v> </v>
      </c>
      <c r="E15" s="1">
        <f>'Data Entry Sheet'!E26</f>
      </c>
      <c r="F15" s="113" t="str">
        <f>'Data Entry Sheet'!F26</f>
        <v> </v>
      </c>
      <c r="G15" s="1"/>
      <c r="H15" s="2"/>
      <c r="I15" s="2"/>
      <c r="J15" s="2"/>
      <c r="K15" s="2"/>
      <c r="L15" s="92"/>
      <c r="M15" s="2"/>
      <c r="N15" s="1"/>
    </row>
    <row r="16" spans="1:16" ht="13.5" thickBot="1">
      <c r="A16" s="1"/>
      <c r="B16" s="1"/>
      <c r="C16" s="44"/>
      <c r="D16" s="3"/>
      <c r="E16" s="44"/>
      <c r="F16" s="3"/>
      <c r="G16" s="1"/>
      <c r="H16" s="1"/>
      <c r="I16" s="1"/>
      <c r="J16" s="1"/>
      <c r="K16" s="1"/>
      <c r="M16" s="3"/>
      <c r="N16" s="1"/>
      <c r="P16" s="2"/>
    </row>
    <row r="17" spans="1:16" ht="25.5" customHeight="1">
      <c r="A17" s="178" t="s">
        <v>56</v>
      </c>
      <c r="B17" s="178" t="s">
        <v>28</v>
      </c>
      <c r="C17" s="178" t="s">
        <v>29</v>
      </c>
      <c r="D17" s="178" t="s">
        <v>30</v>
      </c>
      <c r="E17" s="194" t="s">
        <v>6</v>
      </c>
      <c r="F17" s="195"/>
      <c r="G17" s="195"/>
      <c r="H17" s="196"/>
      <c r="I17" s="195" t="s">
        <v>8</v>
      </c>
      <c r="J17" s="195"/>
      <c r="K17" s="195"/>
      <c r="L17" s="195"/>
      <c r="M17" s="194" t="s">
        <v>32</v>
      </c>
      <c r="N17" s="195"/>
      <c r="O17" s="195"/>
      <c r="P17" s="196"/>
    </row>
    <row r="18" spans="1:16" ht="13.5" thickBot="1">
      <c r="A18" s="179"/>
      <c r="B18" s="179"/>
      <c r="C18" s="179"/>
      <c r="D18" s="179"/>
      <c r="E18" s="197"/>
      <c r="F18" s="198"/>
      <c r="G18" s="198"/>
      <c r="H18" s="199"/>
      <c r="I18" s="198"/>
      <c r="J18" s="198"/>
      <c r="K18" s="198"/>
      <c r="L18" s="198"/>
      <c r="M18" s="197"/>
      <c r="N18" s="198"/>
      <c r="O18" s="198"/>
      <c r="P18" s="199"/>
    </row>
    <row r="19" spans="1:16" ht="13.5" thickBot="1">
      <c r="A19" s="180"/>
      <c r="B19" s="180"/>
      <c r="C19" s="180"/>
      <c r="D19" s="180"/>
      <c r="E19" s="5" t="s">
        <v>2</v>
      </c>
      <c r="F19" s="6" t="s">
        <v>3</v>
      </c>
      <c r="G19" s="6" t="s">
        <v>4</v>
      </c>
      <c r="H19" s="7" t="s">
        <v>5</v>
      </c>
      <c r="I19" s="56" t="s">
        <v>2</v>
      </c>
      <c r="J19" s="6" t="s">
        <v>3</v>
      </c>
      <c r="K19" s="6" t="s">
        <v>4</v>
      </c>
      <c r="L19" s="65" t="s">
        <v>5</v>
      </c>
      <c r="M19" s="5" t="s">
        <v>2</v>
      </c>
      <c r="N19" s="6" t="s">
        <v>3</v>
      </c>
      <c r="O19" s="6" t="s">
        <v>4</v>
      </c>
      <c r="P19" s="7" t="s">
        <v>5</v>
      </c>
    </row>
    <row r="20" spans="1:16" ht="12.75">
      <c r="A20" s="154">
        <v>1</v>
      </c>
      <c r="B20" s="155">
        <f>IF('Data Entry Sheet'!B37="BlanK","",'Data Entry Sheet'!$C37)</f>
        <v>0</v>
      </c>
      <c r="C20" s="155">
        <f>IF($B20="","",'Data Entry Sheet'!I37)</f>
        <v>0</v>
      </c>
      <c r="D20" s="156">
        <f>IF($B20="","",'Data Entry Sheet'!H37)</f>
        <v>0</v>
      </c>
      <c r="E20" s="157">
        <f>IF($B20="","",'Data Entry Sheet'!D37)</f>
        <v>0</v>
      </c>
      <c r="F20" s="155">
        <f>IF($B20="","",'Data Entry Sheet'!E37)</f>
        <v>0</v>
      </c>
      <c r="G20" s="155">
        <f>IF($B20="","",'Data Entry Sheet'!F37)</f>
        <v>0</v>
      </c>
      <c r="H20" s="156">
        <f>IF($B20="","",'Data Entry Sheet'!G37)</f>
        <v>0</v>
      </c>
      <c r="I20" s="158">
        <f aca="true" t="shared" si="0" ref="I20:I30">IF($B20="","",$D20-E20)</f>
        <v>0</v>
      </c>
      <c r="J20" s="158">
        <f aca="true" t="shared" si="1" ref="J20:J30">IF($B20="","",$D20-F20)</f>
        <v>0</v>
      </c>
      <c r="K20" s="158">
        <f aca="true" t="shared" si="2" ref="K20:K30">IF($B20="","",$D20-G20)</f>
        <v>0</v>
      </c>
      <c r="L20" s="159">
        <f aca="true" t="shared" si="3" ref="L20:L30">IF($B20="","",$D20-H20)</f>
        <v>0</v>
      </c>
      <c r="M20" s="160">
        <f aca="true" t="shared" si="4" ref="M20:M30">IF($B20="","",ABS(I20-$I$31))</f>
        <v>0</v>
      </c>
      <c r="N20" s="161">
        <f aca="true" t="shared" si="5" ref="N20:N30">IF($B20="","",ABS(J20-$J$31))</f>
        <v>0</v>
      </c>
      <c r="O20" s="161">
        <f aca="true" t="shared" si="6" ref="O20:O30">IF($B20="","",ABS(K20-$K$31))</f>
        <v>0</v>
      </c>
      <c r="P20" s="162">
        <f aca="true" t="shared" si="7" ref="P20:P30">IF($B20="","",ABS(L20-$L$31))</f>
        <v>0</v>
      </c>
    </row>
    <row r="21" spans="1:16" ht="12.75">
      <c r="A21" s="59">
        <v>2</v>
      </c>
      <c r="B21" s="35">
        <f>IF('Data Entry Sheet'!B38="BlanK","",'Data Entry Sheet'!$C38)</f>
        <v>0</v>
      </c>
      <c r="C21" s="24">
        <f>IF($B21="","",'Data Entry Sheet'!I38)</f>
        <v>0</v>
      </c>
      <c r="D21" s="68">
        <f>IF($B21="","",'Data Entry Sheet'!H38)</f>
        <v>0</v>
      </c>
      <c r="E21" s="57">
        <f>IF($B21="","",'Data Entry Sheet'!D38)</f>
        <v>0</v>
      </c>
      <c r="F21" s="35">
        <f>IF($B21="","",'Data Entry Sheet'!E38)</f>
        <v>0</v>
      </c>
      <c r="G21" s="35">
        <f>IF($B21="","",'Data Entry Sheet'!F38)</f>
        <v>0</v>
      </c>
      <c r="H21" s="58">
        <f>IF($B21="","",'Data Entry Sheet'!G38)</f>
        <v>0</v>
      </c>
      <c r="I21" s="8">
        <f t="shared" si="0"/>
        <v>0</v>
      </c>
      <c r="J21" s="8">
        <f t="shared" si="1"/>
        <v>0</v>
      </c>
      <c r="K21" s="8">
        <f t="shared" si="2"/>
        <v>0</v>
      </c>
      <c r="L21" s="25">
        <f t="shared" si="3"/>
        <v>0</v>
      </c>
      <c r="M21" s="71">
        <f t="shared" si="4"/>
        <v>0</v>
      </c>
      <c r="N21" s="36">
        <f t="shared" si="5"/>
        <v>0</v>
      </c>
      <c r="O21" s="36">
        <f t="shared" si="6"/>
        <v>0</v>
      </c>
      <c r="P21" s="72">
        <f t="shared" si="7"/>
        <v>0</v>
      </c>
    </row>
    <row r="22" spans="1:16" ht="12.75">
      <c r="A22" s="59">
        <v>3</v>
      </c>
      <c r="B22" s="35">
        <f>IF('Data Entry Sheet'!B39="BlanK","",'Data Entry Sheet'!$C39)</f>
        <v>0</v>
      </c>
      <c r="C22" s="24">
        <f>IF($B22="","",'Data Entry Sheet'!I39)</f>
        <v>0</v>
      </c>
      <c r="D22" s="68">
        <f>IF($B22="","",'Data Entry Sheet'!H39)</f>
        <v>0</v>
      </c>
      <c r="E22" s="57">
        <f>IF($B22="","",'Data Entry Sheet'!D39)</f>
        <v>0</v>
      </c>
      <c r="F22" s="35">
        <f>IF($B22="","",'Data Entry Sheet'!E39)</f>
        <v>0</v>
      </c>
      <c r="G22" s="35">
        <f>IF($B22="","",'Data Entry Sheet'!F39)</f>
        <v>0</v>
      </c>
      <c r="H22" s="58">
        <f>IF($B22="","",'Data Entry Sheet'!G39)</f>
        <v>0</v>
      </c>
      <c r="I22" s="8">
        <f t="shared" si="0"/>
        <v>0</v>
      </c>
      <c r="J22" s="8">
        <f t="shared" si="1"/>
        <v>0</v>
      </c>
      <c r="K22" s="8">
        <f t="shared" si="2"/>
        <v>0</v>
      </c>
      <c r="L22" s="25">
        <f t="shared" si="3"/>
        <v>0</v>
      </c>
      <c r="M22" s="71">
        <f t="shared" si="4"/>
        <v>0</v>
      </c>
      <c r="N22" s="36">
        <f t="shared" si="5"/>
        <v>0</v>
      </c>
      <c r="O22" s="36">
        <f t="shared" si="6"/>
        <v>0</v>
      </c>
      <c r="P22" s="72">
        <f t="shared" si="7"/>
        <v>0</v>
      </c>
    </row>
    <row r="23" spans="1:16" ht="12.75">
      <c r="A23" s="59">
        <v>4</v>
      </c>
      <c r="B23" s="35">
        <f>IF('Data Entry Sheet'!B40="BlanK","",'Data Entry Sheet'!$C40)</f>
        <v>0</v>
      </c>
      <c r="C23" s="24">
        <f>IF($B23="","",'Data Entry Sheet'!I40)</f>
        <v>0</v>
      </c>
      <c r="D23" s="68">
        <f>IF($B23="","",'Data Entry Sheet'!H40)</f>
        <v>0</v>
      </c>
      <c r="E23" s="57">
        <f>IF($B23="","",'Data Entry Sheet'!D40)</f>
        <v>0</v>
      </c>
      <c r="F23" s="35">
        <f>IF($B23="","",'Data Entry Sheet'!E40)</f>
        <v>0</v>
      </c>
      <c r="G23" s="35">
        <f>IF($B23="","",'Data Entry Sheet'!F40)</f>
        <v>0</v>
      </c>
      <c r="H23" s="58">
        <f>IF($B23="","",'Data Entry Sheet'!G40)</f>
        <v>0</v>
      </c>
      <c r="I23" s="8">
        <f t="shared" si="0"/>
        <v>0</v>
      </c>
      <c r="J23" s="8">
        <f t="shared" si="1"/>
        <v>0</v>
      </c>
      <c r="K23" s="8">
        <f t="shared" si="2"/>
        <v>0</v>
      </c>
      <c r="L23" s="25">
        <f t="shared" si="3"/>
        <v>0</v>
      </c>
      <c r="M23" s="71">
        <f t="shared" si="4"/>
        <v>0</v>
      </c>
      <c r="N23" s="36">
        <f t="shared" si="5"/>
        <v>0</v>
      </c>
      <c r="O23" s="36">
        <f t="shared" si="6"/>
        <v>0</v>
      </c>
      <c r="P23" s="72">
        <f t="shared" si="7"/>
        <v>0</v>
      </c>
    </row>
    <row r="24" spans="1:16" ht="12.75">
      <c r="A24" s="59">
        <v>5</v>
      </c>
      <c r="B24" s="35">
        <f>IF('Data Entry Sheet'!B41="BlanK","",'Data Entry Sheet'!$C41)</f>
        <v>0</v>
      </c>
      <c r="C24" s="24">
        <f>IF($B24="","",'Data Entry Sheet'!I41)</f>
        <v>0</v>
      </c>
      <c r="D24" s="68">
        <f>IF($B24="","",'Data Entry Sheet'!H41)</f>
        <v>0</v>
      </c>
      <c r="E24" s="57">
        <f>IF($B24="","",'Data Entry Sheet'!D41)</f>
        <v>0</v>
      </c>
      <c r="F24" s="35">
        <f>IF($B24="","",'Data Entry Sheet'!E41)</f>
        <v>0</v>
      </c>
      <c r="G24" s="35">
        <f>IF($B24="","",'Data Entry Sheet'!F41)</f>
        <v>0</v>
      </c>
      <c r="H24" s="58">
        <f>IF($B24="","",'Data Entry Sheet'!G41)</f>
        <v>0</v>
      </c>
      <c r="I24" s="8">
        <f t="shared" si="0"/>
        <v>0</v>
      </c>
      <c r="J24" s="8">
        <f t="shared" si="1"/>
        <v>0</v>
      </c>
      <c r="K24" s="8">
        <f t="shared" si="2"/>
        <v>0</v>
      </c>
      <c r="L24" s="25">
        <f t="shared" si="3"/>
        <v>0</v>
      </c>
      <c r="M24" s="71">
        <f t="shared" si="4"/>
        <v>0</v>
      </c>
      <c r="N24" s="36">
        <f t="shared" si="5"/>
        <v>0</v>
      </c>
      <c r="O24" s="36">
        <f t="shared" si="6"/>
        <v>0</v>
      </c>
      <c r="P24" s="72">
        <f t="shared" si="7"/>
        <v>0</v>
      </c>
    </row>
    <row r="25" spans="1:16" ht="12.75">
      <c r="A25" s="59">
        <f>IF($C$3="B",6,IF($C$3="A",6,IF($C$3="AA",6,"")))</f>
        <v>6</v>
      </c>
      <c r="B25" s="35">
        <f>IF('Data Entry Sheet'!B42="BlanK","",'Data Entry Sheet'!$C42)</f>
        <v>0</v>
      </c>
      <c r="C25" s="24">
        <f>IF($B25="","",'Data Entry Sheet'!I42)</f>
        <v>0</v>
      </c>
      <c r="D25" s="68">
        <f>IF($B25="","",'Data Entry Sheet'!H42)</f>
        <v>0</v>
      </c>
      <c r="E25" s="57">
        <f>IF($B25="","",'Data Entry Sheet'!D42)</f>
        <v>0</v>
      </c>
      <c r="F25" s="35">
        <f>IF($B25="","",'Data Entry Sheet'!E42)</f>
        <v>0</v>
      </c>
      <c r="G25" s="35">
        <f>IF($B25="","",'Data Entry Sheet'!F42)</f>
        <v>0</v>
      </c>
      <c r="H25" s="58">
        <f>IF($B25="","",'Data Entry Sheet'!G42)</f>
        <v>0</v>
      </c>
      <c r="I25" s="8">
        <f t="shared" si="0"/>
        <v>0</v>
      </c>
      <c r="J25" s="8">
        <f t="shared" si="1"/>
        <v>0</v>
      </c>
      <c r="K25" s="8">
        <f t="shared" si="2"/>
        <v>0</v>
      </c>
      <c r="L25" s="25">
        <f t="shared" si="3"/>
        <v>0</v>
      </c>
      <c r="M25" s="71">
        <f t="shared" si="4"/>
        <v>0</v>
      </c>
      <c r="N25" s="36">
        <f t="shared" si="5"/>
        <v>0</v>
      </c>
      <c r="O25" s="36">
        <f t="shared" si="6"/>
        <v>0</v>
      </c>
      <c r="P25" s="72">
        <f t="shared" si="7"/>
        <v>0</v>
      </c>
    </row>
    <row r="26" spans="1:16" ht="12.75">
      <c r="A26" s="59">
        <f>IF($C$3="B",7,IF($C$3="A",7,IF($C$3="AA",7,"")))</f>
        <v>7</v>
      </c>
      <c r="B26" s="35">
        <f>IF('Data Entry Sheet'!B43="BlanK","",'Data Entry Sheet'!$C43)</f>
        <v>0</v>
      </c>
      <c r="C26" s="24">
        <f>IF($B26="","",'Data Entry Sheet'!I43)</f>
        <v>0</v>
      </c>
      <c r="D26" s="68">
        <f>IF($B26="","",'Data Entry Sheet'!H43)</f>
        <v>0</v>
      </c>
      <c r="E26" s="57">
        <f>IF($B26="","",'Data Entry Sheet'!D43)</f>
        <v>0</v>
      </c>
      <c r="F26" s="35">
        <f>IF($B26="","",'Data Entry Sheet'!E43)</f>
        <v>0</v>
      </c>
      <c r="G26" s="35">
        <f>IF($B26="","",'Data Entry Sheet'!F43)</f>
        <v>0</v>
      </c>
      <c r="H26" s="58">
        <f>IF($B26="","",'Data Entry Sheet'!G43)</f>
        <v>0</v>
      </c>
      <c r="I26" s="8">
        <f t="shared" si="0"/>
        <v>0</v>
      </c>
      <c r="J26" s="8">
        <f t="shared" si="1"/>
        <v>0</v>
      </c>
      <c r="K26" s="8">
        <f t="shared" si="2"/>
        <v>0</v>
      </c>
      <c r="L26" s="25">
        <f t="shared" si="3"/>
        <v>0</v>
      </c>
      <c r="M26" s="71">
        <f t="shared" si="4"/>
        <v>0</v>
      </c>
      <c r="N26" s="36">
        <f t="shared" si="5"/>
        <v>0</v>
      </c>
      <c r="O26" s="36">
        <f t="shared" si="6"/>
        <v>0</v>
      </c>
      <c r="P26" s="72">
        <f t="shared" si="7"/>
        <v>0</v>
      </c>
    </row>
    <row r="27" spans="1:16" ht="12.75">
      <c r="A27" s="59">
        <f>IF($C$3="B",8,IF($C$3="A",8,IF($C$3="AA",8,"")))</f>
        <v>8</v>
      </c>
      <c r="B27" s="35">
        <f>IF('Data Entry Sheet'!B44="BlanK","",'Data Entry Sheet'!$C44)</f>
        <v>0</v>
      </c>
      <c r="C27" s="24">
        <f>IF($B27="","",'Data Entry Sheet'!I44)</f>
        <v>0</v>
      </c>
      <c r="D27" s="68">
        <f>IF($B27="","",'Data Entry Sheet'!H44)</f>
        <v>0</v>
      </c>
      <c r="E27" s="57">
        <f>IF($B27="","",'Data Entry Sheet'!D44)</f>
        <v>0</v>
      </c>
      <c r="F27" s="35">
        <f>IF($B27="","",'Data Entry Sheet'!E44)</f>
        <v>0</v>
      </c>
      <c r="G27" s="35">
        <f>IF($B27="","",'Data Entry Sheet'!F44)</f>
        <v>0</v>
      </c>
      <c r="H27" s="58">
        <f>IF($B27="","",'Data Entry Sheet'!G44)</f>
        <v>0</v>
      </c>
      <c r="I27" s="8">
        <f t="shared" si="0"/>
        <v>0</v>
      </c>
      <c r="J27" s="8">
        <f t="shared" si="1"/>
        <v>0</v>
      </c>
      <c r="K27" s="8">
        <f t="shared" si="2"/>
        <v>0</v>
      </c>
      <c r="L27" s="25">
        <f t="shared" si="3"/>
        <v>0</v>
      </c>
      <c r="M27" s="71">
        <f t="shared" si="4"/>
        <v>0</v>
      </c>
      <c r="N27" s="36">
        <f t="shared" si="5"/>
        <v>0</v>
      </c>
      <c r="O27" s="36">
        <f t="shared" si="6"/>
        <v>0</v>
      </c>
      <c r="P27" s="72">
        <f t="shared" si="7"/>
        <v>0</v>
      </c>
    </row>
    <row r="28" spans="1:16" ht="12.75">
      <c r="A28" s="59">
        <f>IF($C$3="A",9,IF($C$3="AA",9,""))</f>
        <v>9</v>
      </c>
      <c r="B28" s="35">
        <f>IF('Data Entry Sheet'!B45="BlanK","",'Data Entry Sheet'!$C45)</f>
        <v>0</v>
      </c>
      <c r="C28" s="24">
        <f>IF($B28="","",'Data Entry Sheet'!I45)</f>
        <v>0</v>
      </c>
      <c r="D28" s="68">
        <f>IF($B28="","",'Data Entry Sheet'!H45)</f>
        <v>0</v>
      </c>
      <c r="E28" s="57">
        <f>IF($B28="","",'Data Entry Sheet'!D45)</f>
        <v>0</v>
      </c>
      <c r="F28" s="35">
        <f>IF($B28="","",'Data Entry Sheet'!E45)</f>
        <v>0</v>
      </c>
      <c r="G28" s="35">
        <f>IF($B28="","",'Data Entry Sheet'!F45)</f>
        <v>0</v>
      </c>
      <c r="H28" s="58">
        <f>IF($B28="","",'Data Entry Sheet'!G45)</f>
        <v>0</v>
      </c>
      <c r="I28" s="8">
        <f t="shared" si="0"/>
        <v>0</v>
      </c>
      <c r="J28" s="8">
        <f t="shared" si="1"/>
        <v>0</v>
      </c>
      <c r="K28" s="8">
        <f t="shared" si="2"/>
        <v>0</v>
      </c>
      <c r="L28" s="25">
        <f t="shared" si="3"/>
        <v>0</v>
      </c>
      <c r="M28" s="71">
        <f t="shared" si="4"/>
        <v>0</v>
      </c>
      <c r="N28" s="36">
        <f t="shared" si="5"/>
        <v>0</v>
      </c>
      <c r="O28" s="36">
        <f t="shared" si="6"/>
        <v>0</v>
      </c>
      <c r="P28" s="72">
        <f t="shared" si="7"/>
        <v>0</v>
      </c>
    </row>
    <row r="29" spans="1:16" ht="12.75">
      <c r="A29" s="59">
        <f>IF($C$3="A",10,IF($C$3="AA",10,""))</f>
        <v>10</v>
      </c>
      <c r="B29" s="35">
        <f>IF('Data Entry Sheet'!B46="BlanK","",'Data Entry Sheet'!$C46)</f>
        <v>0</v>
      </c>
      <c r="C29" s="24">
        <f>IF($B29="","",'Data Entry Sheet'!I46)</f>
        <v>0</v>
      </c>
      <c r="D29" s="68">
        <f>IF($B29="","",'Data Entry Sheet'!H46)</f>
        <v>0</v>
      </c>
      <c r="E29" s="57">
        <f>IF($B29="","",'Data Entry Sheet'!D46)</f>
        <v>0</v>
      </c>
      <c r="F29" s="35">
        <f>IF($B29="","",'Data Entry Sheet'!E46)</f>
        <v>0</v>
      </c>
      <c r="G29" s="35">
        <f>IF($B29="","",'Data Entry Sheet'!F46)</f>
        <v>0</v>
      </c>
      <c r="H29" s="58">
        <f>IF($B29="","",'Data Entry Sheet'!G46)</f>
        <v>0</v>
      </c>
      <c r="I29" s="8">
        <f t="shared" si="0"/>
        <v>0</v>
      </c>
      <c r="J29" s="8">
        <f t="shared" si="1"/>
        <v>0</v>
      </c>
      <c r="K29" s="8">
        <f t="shared" si="2"/>
        <v>0</v>
      </c>
      <c r="L29" s="25">
        <f t="shared" si="3"/>
        <v>0</v>
      </c>
      <c r="M29" s="71">
        <f t="shared" si="4"/>
        <v>0</v>
      </c>
      <c r="N29" s="36">
        <f t="shared" si="5"/>
        <v>0</v>
      </c>
      <c r="O29" s="36">
        <f t="shared" si="6"/>
        <v>0</v>
      </c>
      <c r="P29" s="72">
        <f t="shared" si="7"/>
        <v>0</v>
      </c>
    </row>
    <row r="30" spans="1:16" ht="13.5" thickBot="1">
      <c r="A30" s="60">
        <f>IF($C$3="A",11,IF($C$3="AA",11,""))</f>
        <v>11</v>
      </c>
      <c r="B30" s="82">
        <f>IF('Data Entry Sheet'!B47="BlanK","",'Data Entry Sheet'!$C47)</f>
        <v>0</v>
      </c>
      <c r="C30" s="61">
        <f>IF($B30="","",'Data Entry Sheet'!I47)</f>
        <v>0</v>
      </c>
      <c r="D30" s="69">
        <f>IF($B30="","",'Data Entry Sheet'!H47)</f>
        <v>0</v>
      </c>
      <c r="E30" s="81">
        <f>IF($B30="","",'Data Entry Sheet'!D47)</f>
        <v>0</v>
      </c>
      <c r="F30" s="82">
        <f>IF($B30="","",'Data Entry Sheet'!E47)</f>
        <v>0</v>
      </c>
      <c r="G30" s="82">
        <f>IF($B30="","",'Data Entry Sheet'!F47)</f>
        <v>0</v>
      </c>
      <c r="H30" s="98">
        <f>IF($B30="","",'Data Entry Sheet'!G47)</f>
        <v>0</v>
      </c>
      <c r="I30" s="163">
        <f t="shared" si="0"/>
        <v>0</v>
      </c>
      <c r="J30" s="163">
        <f t="shared" si="1"/>
        <v>0</v>
      </c>
      <c r="K30" s="163">
        <f t="shared" si="2"/>
        <v>0</v>
      </c>
      <c r="L30" s="164">
        <f t="shared" si="3"/>
        <v>0</v>
      </c>
      <c r="M30" s="165">
        <f t="shared" si="4"/>
        <v>0</v>
      </c>
      <c r="N30" s="166">
        <f t="shared" si="5"/>
        <v>0</v>
      </c>
      <c r="O30" s="166">
        <f t="shared" si="6"/>
        <v>0</v>
      </c>
      <c r="P30" s="167">
        <f t="shared" si="7"/>
        <v>0</v>
      </c>
    </row>
    <row r="31" spans="5:16" ht="12.75">
      <c r="E31" s="209" t="s">
        <v>9</v>
      </c>
      <c r="F31" s="210"/>
      <c r="G31" s="210"/>
      <c r="H31" s="211"/>
      <c r="I31" s="148">
        <f>IF($C$3="C",AVERAGE(I20:I24),(IF($C$3="b",AVERAGE(I20:I27),IF($C$3="A",AVERAGE(I20:I30),AVERAGE(I20:I30)))))</f>
        <v>0</v>
      </c>
      <c r="J31" s="149">
        <f>IF($C$3="C",AVERAGE(J20:J24),(IF($C$3="b",AVERAGE(J20:J27),IF($C$3="A",AVERAGE(J20:J30),AVERAGE(J20:J30)))))</f>
        <v>0</v>
      </c>
      <c r="K31" s="149">
        <f>IF($C$3="C",AVERAGE(K20:K24),(IF($C$3="b",AVERAGE(K20:K27),IF($C$3="A",AVERAGE(K20:K30),AVERAGE(K20:K30)))))</f>
        <v>0</v>
      </c>
      <c r="L31" s="150">
        <f>IF($C$3="C",AVERAGE(L20:L24),(IF($C$3="b",AVERAGE(L20:L27),IF($C$3="A",AVERAGE(L20:L30),AVERAGE(L20:L30)))))</f>
        <v>0</v>
      </c>
      <c r="M31" s="151"/>
      <c r="N31" s="152"/>
      <c r="O31" s="152"/>
      <c r="P31" s="153"/>
    </row>
    <row r="32" spans="5:16" ht="13.5" thickBot="1">
      <c r="E32" s="216" t="s">
        <v>31</v>
      </c>
      <c r="F32" s="217"/>
      <c r="G32" s="217"/>
      <c r="H32" s="218"/>
      <c r="I32" s="97"/>
      <c r="J32" s="62"/>
      <c r="K32" s="62"/>
      <c r="L32" s="70"/>
      <c r="M32" s="73">
        <f>IF($C$3="C",MAX(M20:M24),(IF($C$3="b",MAX(M20:M27),IF($C$3="A",MAX(M20:M30),MAX(M20:M30)))))</f>
        <v>0</v>
      </c>
      <c r="N32" s="63">
        <f>IF($C$3="C",MAX(N20:N24),(IF($C$3="b",MAX(N20:N27),IF($C$3="A",MAX(N20:N30),MAX(N20:N30)))))</f>
        <v>0</v>
      </c>
      <c r="O32" s="63">
        <f>IF($C$3="C",MAX(O20:O24),(IF($C$3="b",MAX(O20:O27),IF($C$3="A",MAX(O20:O30),MAX(O20:O30)))))</f>
        <v>0</v>
      </c>
      <c r="P32" s="64">
        <f>IF($C$3="C",MAX(P20:P24),(IF($C$3="b",MAX(P20:P27),IF($C$3="A",MAX(P20:P30),MAX(P20:P30)))))</f>
        <v>0</v>
      </c>
    </row>
    <row r="33" spans="5:16" ht="15.75" customHeight="1">
      <c r="E33" s="207" t="s">
        <v>27</v>
      </c>
      <c r="F33" s="207"/>
      <c r="G33" s="207"/>
      <c r="H33" s="207"/>
      <c r="I33" s="2"/>
      <c r="J33" s="2"/>
      <c r="K33" s="2"/>
      <c r="L33" s="2"/>
      <c r="M33" s="207" t="s">
        <v>42</v>
      </c>
      <c r="N33" s="207"/>
      <c r="O33" s="207"/>
      <c r="P33" s="207"/>
    </row>
    <row r="34" spans="5:16" ht="15.75" customHeight="1">
      <c r="E34" s="208"/>
      <c r="F34" s="208"/>
      <c r="G34" s="208"/>
      <c r="H34" s="208"/>
      <c r="I34" s="14"/>
      <c r="J34" s="14"/>
      <c r="K34" s="14"/>
      <c r="L34" s="14"/>
      <c r="M34" s="208"/>
      <c r="N34" s="208"/>
      <c r="O34" s="208"/>
      <c r="P34" s="208"/>
    </row>
    <row r="35" spans="5:16" ht="15.75" customHeight="1">
      <c r="E35" s="208"/>
      <c r="F35" s="208"/>
      <c r="G35" s="208"/>
      <c r="H35" s="208"/>
      <c r="I35" s="17"/>
      <c r="J35" s="17"/>
      <c r="K35" s="17"/>
      <c r="L35" s="17"/>
      <c r="M35" s="208"/>
      <c r="N35" s="208"/>
      <c r="O35" s="208"/>
      <c r="P35" s="208"/>
    </row>
    <row r="36" spans="9:16" ht="13.5" customHeight="1">
      <c r="I36" s="17"/>
      <c r="J36" s="17"/>
      <c r="K36" s="17"/>
      <c r="L36" s="17"/>
      <c r="M36" s="219"/>
      <c r="N36" s="219"/>
      <c r="O36" s="219"/>
      <c r="P36" s="219"/>
    </row>
    <row r="37" spans="9:16" ht="13.5" customHeight="1" thickBot="1">
      <c r="I37" s="17"/>
      <c r="J37" s="17"/>
      <c r="K37" s="17"/>
      <c r="L37" s="17"/>
      <c r="M37" s="214"/>
      <c r="N37" s="214"/>
      <c r="O37" s="214"/>
      <c r="P37" s="214"/>
    </row>
    <row r="38" spans="1:16" ht="12.75" customHeight="1">
      <c r="A38" s="178" t="s">
        <v>56</v>
      </c>
      <c r="B38" s="178" t="s">
        <v>28</v>
      </c>
      <c r="C38" s="178" t="s">
        <v>29</v>
      </c>
      <c r="D38" s="178" t="s">
        <v>30</v>
      </c>
      <c r="E38" s="220" t="s">
        <v>1</v>
      </c>
      <c r="F38" s="221"/>
      <c r="G38" s="221"/>
      <c r="H38" s="221"/>
      <c r="I38" s="224" t="s">
        <v>37</v>
      </c>
      <c r="J38" s="225"/>
      <c r="K38" s="225"/>
      <c r="L38" s="226"/>
      <c r="M38" s="106"/>
      <c r="N38" s="107"/>
      <c r="O38" s="107"/>
      <c r="P38" s="107"/>
    </row>
    <row r="39" spans="1:16" ht="13.5" thickBot="1">
      <c r="A39" s="179"/>
      <c r="B39" s="179"/>
      <c r="C39" s="179"/>
      <c r="D39" s="179"/>
      <c r="E39" s="222" t="s">
        <v>7</v>
      </c>
      <c r="F39" s="223"/>
      <c r="G39" s="223"/>
      <c r="H39" s="223"/>
      <c r="I39" s="222" t="s">
        <v>7</v>
      </c>
      <c r="J39" s="223"/>
      <c r="K39" s="223"/>
      <c r="L39" s="227"/>
      <c r="M39" s="108"/>
      <c r="N39" s="92"/>
      <c r="O39" s="92"/>
      <c r="P39" s="92"/>
    </row>
    <row r="40" spans="1:16" ht="21" thickBot="1">
      <c r="A40" s="180"/>
      <c r="B40" s="180"/>
      <c r="C40" s="180"/>
      <c r="D40" s="180"/>
      <c r="E40" s="5" t="s">
        <v>2</v>
      </c>
      <c r="F40" s="6" t="s">
        <v>3</v>
      </c>
      <c r="G40" s="6" t="s">
        <v>4</v>
      </c>
      <c r="H40" s="7" t="s">
        <v>5</v>
      </c>
      <c r="I40" s="5" t="s">
        <v>2</v>
      </c>
      <c r="J40" s="6" t="s">
        <v>3</v>
      </c>
      <c r="K40" s="6" t="s">
        <v>4</v>
      </c>
      <c r="L40" s="7" t="s">
        <v>5</v>
      </c>
      <c r="M40" s="92"/>
      <c r="N40" s="109"/>
      <c r="O40" s="92"/>
      <c r="P40" s="109"/>
    </row>
    <row r="41" spans="1:16" ht="20.25">
      <c r="A41" s="154">
        <v>1</v>
      </c>
      <c r="B41" s="155">
        <f aca="true" t="shared" si="8" ref="B41:B51">B20</f>
        <v>0</v>
      </c>
      <c r="C41" s="74">
        <f>IF($B20="","",'Data Entry Sheet'!K37)</f>
        <v>0</v>
      </c>
      <c r="D41" s="156">
        <f aca="true" t="shared" si="9" ref="D41:D51">D20</f>
        <v>0</v>
      </c>
      <c r="E41" s="75">
        <f>IF($B20="","",'Data Entry Sheet'!L37)</f>
        <v>0</v>
      </c>
      <c r="F41" s="75">
        <f>IF($B20="","",'Data Entry Sheet'!M37)</f>
        <v>0</v>
      </c>
      <c r="G41" s="75">
        <f>IF($B20="","",'Data Entry Sheet'!N37)</f>
        <v>0</v>
      </c>
      <c r="H41" s="76">
        <f>IF($B20="","",'Data Entry Sheet'!O37)</f>
        <v>0</v>
      </c>
      <c r="I41" s="168">
        <f>E41/(1+VLOOKUP('Data Entry Sheet'!$B$19,Constants!$A$2:$B$22,2,FALSE)*($C41-20))</f>
        <v>0</v>
      </c>
      <c r="J41" s="168">
        <f>F41/(1+VLOOKUP('Data Entry Sheet'!$B$19,Constants!$A$2:$B$22,2,FALSE)*($C41-20))</f>
        <v>0</v>
      </c>
      <c r="K41" s="168">
        <f>G41/(1+VLOOKUP('Data Entry Sheet'!$B$19,Constants!$A$2:$B$22,2,FALSE)*($C41-20))</f>
        <v>0</v>
      </c>
      <c r="L41" s="169">
        <f>H41/(1+VLOOKUP('Data Entry Sheet'!$B$19,Constants!$A$2:$B$22,2,FALSE)*($C41-20))</f>
        <v>0</v>
      </c>
      <c r="N41" s="19"/>
      <c r="O41" s="19"/>
      <c r="P41" s="19"/>
    </row>
    <row r="42" spans="1:12" ht="12.75">
      <c r="A42" s="59">
        <v>2</v>
      </c>
      <c r="B42" s="24">
        <f t="shared" si="8"/>
        <v>0</v>
      </c>
      <c r="C42" s="77">
        <f>IF($B21="","",'Data Entry Sheet'!K38)</f>
        <v>0</v>
      </c>
      <c r="D42" s="68">
        <f t="shared" si="9"/>
        <v>0</v>
      </c>
      <c r="E42" s="78">
        <f>IF($B21="","",'Data Entry Sheet'!L38)</f>
        <v>0</v>
      </c>
      <c r="F42" s="78">
        <f>IF($B21="","",'Data Entry Sheet'!M38)</f>
        <v>0</v>
      </c>
      <c r="G42" s="78">
        <f>IF($B21="","",'Data Entry Sheet'!N38)</f>
        <v>0</v>
      </c>
      <c r="H42" s="66">
        <f>IF($B21="","",'Data Entry Sheet'!O38)</f>
        <v>0</v>
      </c>
      <c r="I42" s="46">
        <f>E42/(1+VLOOKUP('Data Entry Sheet'!$B$19,Constants!$A$2:$B$22,2,FALSE)*($C42-20))</f>
        <v>0</v>
      </c>
      <c r="J42" s="47">
        <f>F42/(1+VLOOKUP('Data Entry Sheet'!$B$19,Constants!$A$2:$B$22,2,FALSE)*($C42-20))</f>
        <v>0</v>
      </c>
      <c r="K42" s="47">
        <f>G42/(1+VLOOKUP('Data Entry Sheet'!$B$19,Constants!$A$2:$B$22,2,FALSE)*($C42-20))</f>
        <v>0</v>
      </c>
      <c r="L42" s="49">
        <f>H42/(1+VLOOKUP('Data Entry Sheet'!$B$19,Constants!$A$2:$B$22,2,FALSE)*($C42-20))</f>
        <v>0</v>
      </c>
    </row>
    <row r="43" spans="1:14" ht="12.75">
      <c r="A43" s="59">
        <v>3</v>
      </c>
      <c r="B43" s="24">
        <f t="shared" si="8"/>
        <v>0</v>
      </c>
      <c r="C43" s="77">
        <f>IF($B22="","",'Data Entry Sheet'!K39)</f>
        <v>0</v>
      </c>
      <c r="D43" s="68">
        <f t="shared" si="9"/>
        <v>0</v>
      </c>
      <c r="E43" s="78">
        <f>IF($B22="","",'Data Entry Sheet'!L39)</f>
        <v>0</v>
      </c>
      <c r="F43" s="78">
        <f>IF($B22="","",'Data Entry Sheet'!M39)</f>
        <v>0</v>
      </c>
      <c r="G43" s="78">
        <f>IF($B22="","",'Data Entry Sheet'!N39)</f>
        <v>0</v>
      </c>
      <c r="H43" s="66">
        <f>IF($B22="","",'Data Entry Sheet'!O39)</f>
        <v>0</v>
      </c>
      <c r="I43" s="46">
        <f>E43/(1+VLOOKUP('Data Entry Sheet'!$B$19,Constants!$A$2:$B$22,2,FALSE)*($C43-20))</f>
        <v>0</v>
      </c>
      <c r="J43" s="47">
        <f>F43/(1+VLOOKUP('Data Entry Sheet'!$B$19,Constants!$A$2:$B$22,2,FALSE)*($C43-20))</f>
        <v>0</v>
      </c>
      <c r="K43" s="47">
        <f>G43/(1+VLOOKUP('Data Entry Sheet'!$B$19,Constants!$A$2:$B$22,2,FALSE)*($C43-20))</f>
        <v>0</v>
      </c>
      <c r="L43" s="49">
        <f>H43/(1+VLOOKUP('Data Entry Sheet'!$B$19,Constants!$A$2:$B$22,2,FALSE)*($C43-20))</f>
        <v>0</v>
      </c>
      <c r="N43" s="18"/>
    </row>
    <row r="44" spans="1:12" ht="12.75">
      <c r="A44" s="59">
        <v>4</v>
      </c>
      <c r="B44" s="24">
        <f t="shared" si="8"/>
        <v>0</v>
      </c>
      <c r="C44" s="77">
        <f>IF($B23="","",'Data Entry Sheet'!K40)</f>
        <v>0</v>
      </c>
      <c r="D44" s="68">
        <f t="shared" si="9"/>
        <v>0</v>
      </c>
      <c r="E44" s="78">
        <f>IF($B23="","",'Data Entry Sheet'!L40)</f>
        <v>0</v>
      </c>
      <c r="F44" s="78">
        <f>IF($B23="","",'Data Entry Sheet'!M40)</f>
        <v>0</v>
      </c>
      <c r="G44" s="78">
        <f>IF($B23="","",'Data Entry Sheet'!N40)</f>
        <v>0</v>
      </c>
      <c r="H44" s="66">
        <f>IF($B23="","",'Data Entry Sheet'!O40)</f>
        <v>0</v>
      </c>
      <c r="I44" s="46">
        <f>E44/(1+VLOOKUP('Data Entry Sheet'!$B$19,Constants!$A$2:$B$22,2,FALSE)*($C44-20))</f>
        <v>0</v>
      </c>
      <c r="J44" s="47">
        <f>F44/(1+VLOOKUP('Data Entry Sheet'!$B$19,Constants!$A$2:$B$22,2,FALSE)*($C44-20))</f>
        <v>0</v>
      </c>
      <c r="K44" s="47">
        <f>G44/(1+VLOOKUP('Data Entry Sheet'!$B$19,Constants!$A$2:$B$22,2,FALSE)*($C44-20))</f>
        <v>0</v>
      </c>
      <c r="L44" s="49">
        <f>H44/(1+VLOOKUP('Data Entry Sheet'!$B$19,Constants!$A$2:$B$22,2,FALSE)*($C44-20))</f>
        <v>0</v>
      </c>
    </row>
    <row r="45" spans="1:12" ht="12.75">
      <c r="A45" s="59">
        <v>5</v>
      </c>
      <c r="B45" s="24">
        <f t="shared" si="8"/>
        <v>0</v>
      </c>
      <c r="C45" s="77">
        <f>IF($B24="","",'Data Entry Sheet'!K41)</f>
        <v>0</v>
      </c>
      <c r="D45" s="68">
        <f t="shared" si="9"/>
        <v>0</v>
      </c>
      <c r="E45" s="78">
        <f>IF($B24="","",'Data Entry Sheet'!L41)</f>
        <v>0</v>
      </c>
      <c r="F45" s="78">
        <f>IF($B24="","",'Data Entry Sheet'!M41)</f>
        <v>0</v>
      </c>
      <c r="G45" s="78">
        <f>IF($B24="","",'Data Entry Sheet'!N41)</f>
        <v>0</v>
      </c>
      <c r="H45" s="66">
        <f>IF($B24="","",'Data Entry Sheet'!O41)</f>
        <v>0</v>
      </c>
      <c r="I45" s="46">
        <f>E45/(1+VLOOKUP('Data Entry Sheet'!$B$19,Constants!$A$2:$B$22,2,FALSE)*($C45-20))</f>
        <v>0</v>
      </c>
      <c r="J45" s="47">
        <f>F45/(1+VLOOKUP('Data Entry Sheet'!$B$19,Constants!$A$2:$B$22,2,FALSE)*($C45-20))</f>
        <v>0</v>
      </c>
      <c r="K45" s="47">
        <f>G45/(1+VLOOKUP('Data Entry Sheet'!$B$19,Constants!$A$2:$B$22,2,FALSE)*($C45-20))</f>
        <v>0</v>
      </c>
      <c r="L45" s="49">
        <f>H45/(1+VLOOKUP('Data Entry Sheet'!$B$19,Constants!$A$2:$B$22,2,FALSE)*($C45-20))</f>
        <v>0</v>
      </c>
    </row>
    <row r="46" spans="1:12" ht="12.75">
      <c r="A46" s="59">
        <f>IF($C$3="B",6,IF($C$3="A",6,IF($C$3="AA",6,"")))</f>
        <v>6</v>
      </c>
      <c r="B46" s="24">
        <f t="shared" si="8"/>
        <v>0</v>
      </c>
      <c r="C46" s="77">
        <f>IF($B25="","",'Data Entry Sheet'!K42)</f>
        <v>0</v>
      </c>
      <c r="D46" s="68">
        <f t="shared" si="9"/>
        <v>0</v>
      </c>
      <c r="E46" s="78">
        <f>IF($B25="","",'Data Entry Sheet'!L42)</f>
        <v>0</v>
      </c>
      <c r="F46" s="78">
        <f>IF($B25="","",'Data Entry Sheet'!M42)</f>
        <v>0</v>
      </c>
      <c r="G46" s="78">
        <f>IF($B25="","",'Data Entry Sheet'!N42)</f>
        <v>0</v>
      </c>
      <c r="H46" s="66">
        <f>IF($B25="","",'Data Entry Sheet'!O42)</f>
        <v>0</v>
      </c>
      <c r="I46" s="46">
        <f>IF($C46="","",(E46/(1+VLOOKUP('Data Entry Sheet'!$B$19,Constants!$A$2:$B$22,2,FALSE)*($C46-20))))</f>
        <v>0</v>
      </c>
      <c r="J46" s="47">
        <f>IF($C46="","",(F46/(1+VLOOKUP('Data Entry Sheet'!$B$19,Constants!$A$2:$B$22,2,FALSE)*($C46-20))))</f>
        <v>0</v>
      </c>
      <c r="K46" s="47">
        <f>IF($C46="","",(G46/(1+VLOOKUP('Data Entry Sheet'!$B$19,Constants!$A$2:$B$22,2,FALSE)*($C46-20))))</f>
        <v>0</v>
      </c>
      <c r="L46" s="49">
        <f>IF($C46="","",(H46/(1+VLOOKUP('Data Entry Sheet'!$B$19,Constants!$A$2:$B$22,2,FALSE)*($C46-20))))</f>
        <v>0</v>
      </c>
    </row>
    <row r="47" spans="1:12" ht="12.75">
      <c r="A47" s="59">
        <f>IF($C$3="B",7,IF($C$3="A",7,IF($C$3="AA",7,"")))</f>
        <v>7</v>
      </c>
      <c r="B47" s="24">
        <f t="shared" si="8"/>
        <v>0</v>
      </c>
      <c r="C47" s="77">
        <f>IF($B26="","",'Data Entry Sheet'!K43)</f>
        <v>0</v>
      </c>
      <c r="D47" s="68">
        <f t="shared" si="9"/>
        <v>0</v>
      </c>
      <c r="E47" s="78">
        <f>IF($B26="","",'Data Entry Sheet'!L43)</f>
        <v>0</v>
      </c>
      <c r="F47" s="78">
        <f>IF($B26="","",'Data Entry Sheet'!M43)</f>
        <v>0</v>
      </c>
      <c r="G47" s="78">
        <f>IF($B26="","",'Data Entry Sheet'!N43)</f>
        <v>0</v>
      </c>
      <c r="H47" s="66">
        <f>IF($B26="","",'Data Entry Sheet'!O43)</f>
        <v>0</v>
      </c>
      <c r="I47" s="46">
        <f>IF($C47="","",(E47/(1+VLOOKUP('Data Entry Sheet'!$B$19,Constants!$A$2:$B$22,2,FALSE)*($C47-20))))</f>
        <v>0</v>
      </c>
      <c r="J47" s="47">
        <f>IF($C47="","",(F47/(1+VLOOKUP('Data Entry Sheet'!$B$19,Constants!$A$2:$B$22,2,FALSE)*($C47-20))))</f>
        <v>0</v>
      </c>
      <c r="K47" s="47">
        <f>IF($C47="","",(G47/(1+VLOOKUP('Data Entry Sheet'!$B$19,Constants!$A$2:$B$22,2,FALSE)*($C47-20))))</f>
        <v>0</v>
      </c>
      <c r="L47" s="49">
        <f>IF($C47="","",(H47/(1+VLOOKUP('Data Entry Sheet'!$B$19,Constants!$A$2:$B$22,2,FALSE)*($C47-20))))</f>
        <v>0</v>
      </c>
    </row>
    <row r="48" spans="1:12" ht="12.75">
      <c r="A48" s="59">
        <f>IF($C$3="B",8,IF($C$3="A",8,IF($C$3="AA",8,"")))</f>
        <v>8</v>
      </c>
      <c r="B48" s="24">
        <f t="shared" si="8"/>
        <v>0</v>
      </c>
      <c r="C48" s="77">
        <f>IF($B27="","",'Data Entry Sheet'!K44)</f>
        <v>0</v>
      </c>
      <c r="D48" s="68">
        <f t="shared" si="9"/>
        <v>0</v>
      </c>
      <c r="E48" s="78">
        <f>IF($B27="","",'Data Entry Sheet'!L44)</f>
        <v>0</v>
      </c>
      <c r="F48" s="78">
        <f>IF($B27="","",'Data Entry Sheet'!M44)</f>
        <v>0</v>
      </c>
      <c r="G48" s="78">
        <f>IF($B27="","",'Data Entry Sheet'!N44)</f>
        <v>0</v>
      </c>
      <c r="H48" s="66">
        <f>IF($B27="","",'Data Entry Sheet'!O44)</f>
        <v>0</v>
      </c>
      <c r="I48" s="46">
        <f>IF($C48="","",(E48/(1+VLOOKUP('Data Entry Sheet'!$B$19,Constants!$A$2:$B$22,2,FALSE)*($C48-20))))</f>
        <v>0</v>
      </c>
      <c r="J48" s="47">
        <f>IF($C48="","",(F48/(1+VLOOKUP('Data Entry Sheet'!$B$19,Constants!$A$2:$B$22,2,FALSE)*($C48-20))))</f>
        <v>0</v>
      </c>
      <c r="K48" s="47">
        <f>IF($C48="","",(G48/(1+VLOOKUP('Data Entry Sheet'!$B$19,Constants!$A$2:$B$22,2,FALSE)*($C48-20))))</f>
        <v>0</v>
      </c>
      <c r="L48" s="49">
        <f>IF($C48="","",(H48/(1+VLOOKUP('Data Entry Sheet'!$B$19,Constants!$A$2:$B$22,2,FALSE)*($C48-20))))</f>
        <v>0</v>
      </c>
    </row>
    <row r="49" spans="1:12" ht="12.75">
      <c r="A49" s="59">
        <f>IF($C$3="A",9,IF($C$3="AA",9,""))</f>
        <v>9</v>
      </c>
      <c r="B49" s="24">
        <f t="shared" si="8"/>
        <v>0</v>
      </c>
      <c r="C49" s="77">
        <f>IF($B28="","",'Data Entry Sheet'!K45)</f>
        <v>0</v>
      </c>
      <c r="D49" s="68">
        <f t="shared" si="9"/>
        <v>0</v>
      </c>
      <c r="E49" s="78">
        <f>IF($B28="","",'Data Entry Sheet'!L45)</f>
        <v>0</v>
      </c>
      <c r="F49" s="78">
        <f>IF($B28="","",'Data Entry Sheet'!M45)</f>
        <v>0</v>
      </c>
      <c r="G49" s="78">
        <f>IF($B28="","",'Data Entry Sheet'!N45)</f>
        <v>0</v>
      </c>
      <c r="H49" s="66">
        <f>IF($B28="","",'Data Entry Sheet'!O45)</f>
        <v>0</v>
      </c>
      <c r="I49" s="46">
        <f>IF($C49="","",(E49/(1+VLOOKUP('Data Entry Sheet'!$B$19,Constants!$A$2:$B$22,2,FALSE)*($C49-20))))</f>
        <v>0</v>
      </c>
      <c r="J49" s="47">
        <f>IF($C49="","",(F49/(1+VLOOKUP('Data Entry Sheet'!$B$19,Constants!$A$2:$B$22,2,FALSE)*($C49-20))))</f>
        <v>0</v>
      </c>
      <c r="K49" s="47">
        <f>IF($C49="","",(G49/(1+VLOOKUP('Data Entry Sheet'!$B$19,Constants!$A$2:$B$22,2,FALSE)*($C49-20))))</f>
        <v>0</v>
      </c>
      <c r="L49" s="49">
        <f>IF($C49="","",(H49/(1+VLOOKUP('Data Entry Sheet'!$B$19,Constants!$A$2:$B$22,2,FALSE)*($C49-20))))</f>
        <v>0</v>
      </c>
    </row>
    <row r="50" spans="1:12" ht="12.75">
      <c r="A50" s="59">
        <f>IF($C$3="A",10,IF($C$3="AA",10,""))</f>
        <v>10</v>
      </c>
      <c r="B50" s="24">
        <f t="shared" si="8"/>
        <v>0</v>
      </c>
      <c r="C50" s="77">
        <f>IF($B29="","",'Data Entry Sheet'!K46)</f>
        <v>0</v>
      </c>
      <c r="D50" s="68">
        <f t="shared" si="9"/>
        <v>0</v>
      </c>
      <c r="E50" s="78">
        <f>IF($B29="","",'Data Entry Sheet'!L46)</f>
        <v>0</v>
      </c>
      <c r="F50" s="78">
        <f>IF($B29="","",'Data Entry Sheet'!M46)</f>
        <v>0</v>
      </c>
      <c r="G50" s="78">
        <f>IF($B29="","",'Data Entry Sheet'!N46)</f>
        <v>0</v>
      </c>
      <c r="H50" s="66">
        <f>IF($B29="","",'Data Entry Sheet'!O46)</f>
        <v>0</v>
      </c>
      <c r="I50" s="46">
        <f>IF($C50="","",(E50/(1+VLOOKUP('Data Entry Sheet'!$B$19,Constants!$A$2:$B$22,2,FALSE)*($C50-20))))</f>
        <v>0</v>
      </c>
      <c r="J50" s="47">
        <f>IF($C50="","",(F50/(1+VLOOKUP('Data Entry Sheet'!$B$19,Constants!$A$2:$B$22,2,FALSE)*($C50-20))))</f>
        <v>0</v>
      </c>
      <c r="K50" s="47">
        <f>IF($C50="","",(G50/(1+VLOOKUP('Data Entry Sheet'!$B$19,Constants!$A$2:$B$22,2,FALSE)*($C50-20))))</f>
        <v>0</v>
      </c>
      <c r="L50" s="49">
        <f>IF($C50="","",(H50/(1+VLOOKUP('Data Entry Sheet'!$B$19,Constants!$A$2:$B$22,2,FALSE)*($C50-20))))</f>
        <v>0</v>
      </c>
    </row>
    <row r="51" spans="1:12" ht="13.5" thickBot="1">
      <c r="A51" s="60">
        <f>IF($C$3="A",11,IF($C$3="AA",11,""))</f>
        <v>11</v>
      </c>
      <c r="B51" s="61">
        <f t="shared" si="8"/>
        <v>0</v>
      </c>
      <c r="C51" s="79">
        <f>IF($B30="","",'Data Entry Sheet'!K47)</f>
        <v>0</v>
      </c>
      <c r="D51" s="69">
        <f t="shared" si="9"/>
        <v>0</v>
      </c>
      <c r="E51" s="80">
        <f>IF($B30="","",'Data Entry Sheet'!L47)</f>
        <v>0</v>
      </c>
      <c r="F51" s="80">
        <f>IF($B30="","",'Data Entry Sheet'!M47)</f>
        <v>0</v>
      </c>
      <c r="G51" s="80">
        <f>IF($B30="","",'Data Entry Sheet'!N47)</f>
        <v>0</v>
      </c>
      <c r="H51" s="67">
        <f>IF($B30="","",'Data Entry Sheet'!O47)</f>
        <v>0</v>
      </c>
      <c r="I51" s="170">
        <f>IF($C51="","",(E51/(1+VLOOKUP('Data Entry Sheet'!$B$19,Constants!$A$2:$B$22,2,FALSE)*($C51-20))))</f>
        <v>0</v>
      </c>
      <c r="J51" s="48">
        <f>IF($C51="","",(F51/(1+VLOOKUP('Data Entry Sheet'!$B$19,Constants!$A$2:$B$22,2,FALSE)*($C51-20))))</f>
        <v>0</v>
      </c>
      <c r="K51" s="48">
        <f>IF($C51="","",(G51/(1+VLOOKUP('Data Entry Sheet'!$B$19,Constants!$A$2:$B$22,2,FALSE)*($C51-20))))</f>
        <v>0</v>
      </c>
      <c r="L51" s="96">
        <f>IF($C51="","",(H51/(1+VLOOKUP('Data Entry Sheet'!$B$19,Constants!$A$2:$B$22,2,FALSE)*($C51-20))))</f>
        <v>0</v>
      </c>
    </row>
    <row r="52" spans="6:12" ht="12.75">
      <c r="F52" s="9" t="s">
        <v>10</v>
      </c>
      <c r="H52" s="10"/>
      <c r="I52" s="50">
        <f>IF($C$3="C",AVERAGE(I41:I45),(IF($C$3="b",AVERAGE(I41:I48),IF($C$3="A",AVERAGE(I41:I51),AVERAGE(I41:I51)))))</f>
        <v>0</v>
      </c>
      <c r="J52" s="28">
        <f>IF($C$3="C",AVERAGE(J41:J45),(IF($C$3="b",AVERAGE(J41:J48),IF($C$3="A",AVERAGE(J41:J51),AVERAGE(J41:J51)))))</f>
        <v>0</v>
      </c>
      <c r="K52" s="28">
        <f>IF($C$3="C",AVERAGE(K41:K45),(IF($C$3="b",AVERAGE(K41:K48),IF($C$3="A",AVERAGE(K41:K51),AVERAGE(K41:K51)))))</f>
        <v>0</v>
      </c>
      <c r="L52" s="51">
        <f>IF($C$3="C",AVERAGE(L41:L45),(IF($C$3="b",AVERAGE(L41:L48),IF($C$3="A",AVERAGE(L41:L51),AVERAGE(L41:L51)))))</f>
        <v>0</v>
      </c>
    </row>
    <row r="53" spans="5:12" ht="12.75">
      <c r="E53" s="11"/>
      <c r="F53" s="12" t="s">
        <v>11</v>
      </c>
      <c r="H53" s="13"/>
      <c r="I53" s="52">
        <f>I52*0.95</f>
        <v>0</v>
      </c>
      <c r="J53" s="29">
        <f>J52*0.95</f>
        <v>0</v>
      </c>
      <c r="K53" s="29">
        <f>K52*0.95</f>
        <v>0</v>
      </c>
      <c r="L53" s="30">
        <f>L52*0.95</f>
        <v>0</v>
      </c>
    </row>
    <row r="54" spans="6:12" ht="13.5" thickBot="1">
      <c r="F54" s="12" t="s">
        <v>12</v>
      </c>
      <c r="H54" s="13"/>
      <c r="I54" s="53">
        <f>I52*1.05</f>
        <v>0</v>
      </c>
      <c r="J54" s="54">
        <f>J52*1.05</f>
        <v>0</v>
      </c>
      <c r="K54" s="54">
        <f>K52*1.05</f>
        <v>0</v>
      </c>
      <c r="L54" s="55">
        <f>L52*1.05</f>
        <v>0</v>
      </c>
    </row>
    <row r="55" spans="5:13" ht="12.75">
      <c r="E55" s="15"/>
      <c r="G55" s="27"/>
      <c r="H55" s="27"/>
      <c r="I55" s="27"/>
      <c r="J55" s="205" t="s">
        <v>43</v>
      </c>
      <c r="K55" s="205"/>
      <c r="L55" s="205"/>
      <c r="M55" s="205"/>
    </row>
    <row r="56" spans="5:13" ht="12.75">
      <c r="E56" s="16"/>
      <c r="J56" s="205"/>
      <c r="K56" s="205"/>
      <c r="L56" s="205"/>
      <c r="M56" s="205"/>
    </row>
  </sheetData>
  <sheetProtection/>
  <mergeCells count="31">
    <mergeCell ref="D38:D40"/>
    <mergeCell ref="E38:H38"/>
    <mergeCell ref="E39:H39"/>
    <mergeCell ref="I38:L38"/>
    <mergeCell ref="I39:L39"/>
    <mergeCell ref="B17:B19"/>
    <mergeCell ref="C17:C19"/>
    <mergeCell ref="A1:P1"/>
    <mergeCell ref="A2:O2"/>
    <mergeCell ref="D17:D19"/>
    <mergeCell ref="E32:H32"/>
    <mergeCell ref="H13:M13"/>
    <mergeCell ref="M36:P36"/>
    <mergeCell ref="A38:A40"/>
    <mergeCell ref="B38:B40"/>
    <mergeCell ref="C38:C40"/>
    <mergeCell ref="N4:O4"/>
    <mergeCell ref="K4:L4"/>
    <mergeCell ref="C4:D4"/>
    <mergeCell ref="B13:C13"/>
    <mergeCell ref="M37:P37"/>
    <mergeCell ref="G4:H4"/>
    <mergeCell ref="A17:A19"/>
    <mergeCell ref="J55:M56"/>
    <mergeCell ref="O3:P3"/>
    <mergeCell ref="E17:H18"/>
    <mergeCell ref="I17:L18"/>
    <mergeCell ref="M17:P18"/>
    <mergeCell ref="E33:H35"/>
    <mergeCell ref="E31:H31"/>
    <mergeCell ref="M33:P35"/>
  </mergeCells>
  <conditionalFormatting sqref="I41:L51">
    <cfRule type="cellIs" priority="1" dxfId="1" operator="notBetween" stopIfTrue="1">
      <formula>I$53-0.05</formula>
      <formula>I$54+0.05</formula>
    </cfRule>
  </conditionalFormatting>
  <conditionalFormatting sqref="E20:H30">
    <cfRule type="cellIs" priority="2" dxfId="1" operator="greaterThan" stopIfTrue="1">
      <formula>$D20</formula>
    </cfRule>
  </conditionalFormatting>
  <conditionalFormatting sqref="A41:A51 A20:A30">
    <cfRule type="cellIs" priority="3" dxfId="2" operator="equal" stopIfTrue="1">
      <formula>""</formula>
    </cfRule>
  </conditionalFormatting>
  <conditionalFormatting sqref="M20:P30">
    <cfRule type="cellIs" priority="4" dxfId="1" operator="greaterThan" stopIfTrue="1">
      <formula>10</formula>
    </cfRule>
  </conditionalFormatting>
  <conditionalFormatting sqref="K14">
    <cfRule type="cellIs" priority="5" dxfId="9" operator="lessThan" stopIfTrue="1">
      <formula>0</formula>
    </cfRule>
  </conditionalFormatting>
  <dataValidations count="1">
    <dataValidation type="list" allowBlank="1" showInputMessage="1" showErrorMessage="1" promptTitle="Wire Type" prompt="Select Wire Type" sqref="F6 C6">
      <formula1>Wire_Type</formula1>
    </dataValidation>
  </dataValidations>
  <printOptions/>
  <pageMargins left="0.45" right="0.12" top="0.24" bottom="0.25" header="0.13" footer="0.13"/>
  <pageSetup fitToHeight="1" fitToWidth="1" horizontalDpi="300" verticalDpi="3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D5" sqref="D5"/>
    </sheetView>
  </sheetViews>
  <sheetFormatPr defaultColWidth="9.140625" defaultRowHeight="12.75"/>
  <sheetData>
    <row r="1" spans="1:9" s="21" customFormat="1" ht="20.25" customHeight="1">
      <c r="A1" s="228" t="s">
        <v>63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177" t="s">
        <v>50</v>
      </c>
      <c r="B2" s="177"/>
      <c r="C2" s="177"/>
      <c r="D2" s="177"/>
      <c r="E2" s="177"/>
      <c r="F2" s="177"/>
      <c r="G2" s="177"/>
      <c r="H2" s="177"/>
      <c r="I2" s="177"/>
    </row>
    <row r="4" spans="4:6" ht="12.75">
      <c r="D4" s="229">
        <f>Stability!N4</f>
        <v>0</v>
      </c>
      <c r="E4" s="229"/>
      <c r="F4" s="229"/>
    </row>
  </sheetData>
  <sheetProtection/>
  <mergeCells count="3">
    <mergeCell ref="A1:I1"/>
    <mergeCell ref="A2:I2"/>
    <mergeCell ref="D4:F4"/>
  </mergeCells>
  <printOptions/>
  <pageMargins left="0.91" right="0.95" top="0.45" bottom="0.39" header="0.14" footer="0.12"/>
  <pageSetup fitToHeight="1" fitToWidth="1" horizontalDpi="300" verticalDpi="3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11.140625" style="0" customWidth="1"/>
    <col min="6" max="6" width="6.421875" style="0" customWidth="1"/>
    <col min="7" max="7" width="7.7109375" style="0" bestFit="1" customWidth="1"/>
  </cols>
  <sheetData>
    <row r="1" spans="1:9" ht="35.25" customHeight="1" thickBot="1">
      <c r="A1" s="37" t="s">
        <v>45</v>
      </c>
      <c r="B1" s="38" t="s">
        <v>44</v>
      </c>
      <c r="F1" s="39" t="s">
        <v>47</v>
      </c>
      <c r="G1" s="39" t="s">
        <v>46</v>
      </c>
      <c r="I1" s="1" t="s">
        <v>15</v>
      </c>
    </row>
    <row r="2" spans="1:9" ht="12.75">
      <c r="A2" s="33" t="s">
        <v>34</v>
      </c>
      <c r="B2" s="33">
        <v>0.0036</v>
      </c>
      <c r="F2" s="40" t="s">
        <v>49</v>
      </c>
      <c r="G2" s="41" t="s">
        <v>41</v>
      </c>
      <c r="I2" t="s">
        <v>57</v>
      </c>
    </row>
    <row r="3" spans="1:9" ht="12.75">
      <c r="A3" s="31" t="s">
        <v>35</v>
      </c>
      <c r="B3" s="31">
        <v>0.004</v>
      </c>
      <c r="F3" s="42" t="str">
        <f>IF('Data Entry Sheet'!C1=5,"A","A")</f>
        <v>A</v>
      </c>
      <c r="G3" s="42" t="str">
        <f>IF('Data Entry Sheet'!C1=5,"","CCST")</f>
        <v>CCST</v>
      </c>
      <c r="I3" t="s">
        <v>58</v>
      </c>
    </row>
    <row r="4" spans="1:7" ht="12.75">
      <c r="A4" s="31" t="s">
        <v>40</v>
      </c>
      <c r="B4" s="31">
        <v>0.004</v>
      </c>
      <c r="F4" s="42" t="s">
        <v>49</v>
      </c>
      <c r="G4" s="42"/>
    </row>
    <row r="5" spans="1:7" ht="12.75">
      <c r="A5" s="32" t="s">
        <v>52</v>
      </c>
      <c r="B5" s="32"/>
      <c r="F5" s="42" t="s">
        <v>49</v>
      </c>
      <c r="G5" s="42"/>
    </row>
    <row r="6" spans="1:2" ht="12.75">
      <c r="A6" s="32"/>
      <c r="B6" s="32"/>
    </row>
    <row r="7" spans="1:2" ht="12.75">
      <c r="A7" s="32"/>
      <c r="B7" s="32"/>
    </row>
    <row r="8" spans="1:2" ht="12.75">
      <c r="A8" s="32"/>
      <c r="B8" s="32"/>
    </row>
    <row r="9" spans="1:2" ht="12.75">
      <c r="A9" s="32"/>
      <c r="B9" s="32"/>
    </row>
    <row r="10" spans="1:2" ht="12.75">
      <c r="A10" s="32"/>
      <c r="B10" s="32"/>
    </row>
    <row r="11" spans="1:2" ht="12.75">
      <c r="A11" s="32"/>
      <c r="B11" s="32"/>
    </row>
    <row r="12" spans="1:2" ht="12.75">
      <c r="A12" s="32"/>
      <c r="B12" s="32"/>
    </row>
    <row r="13" spans="1:2" ht="12.75">
      <c r="A13" s="32"/>
      <c r="B13" s="32"/>
    </row>
    <row r="14" spans="1:2" ht="12.75">
      <c r="A14" s="32"/>
      <c r="B14" s="32"/>
    </row>
    <row r="15" spans="1:2" ht="12.75">
      <c r="A15" s="32"/>
      <c r="B15" s="32"/>
    </row>
    <row r="16" spans="1:2" ht="12.75">
      <c r="A16" s="32"/>
      <c r="B16" s="32"/>
    </row>
    <row r="17" spans="1:2" ht="12.75">
      <c r="A17" s="32"/>
      <c r="B17" s="32"/>
    </row>
    <row r="18" spans="1:2" ht="12.75">
      <c r="A18" s="32"/>
      <c r="B18" s="32"/>
    </row>
    <row r="19" spans="1:2" ht="12.75">
      <c r="A19" s="32"/>
      <c r="B19" s="32"/>
    </row>
    <row r="20" spans="1:2" ht="12.75">
      <c r="A20" s="32"/>
      <c r="B20" s="32"/>
    </row>
    <row r="21" spans="1:2" ht="12.75">
      <c r="A21" s="32"/>
      <c r="B21" s="32"/>
    </row>
    <row r="22" spans="1:2" ht="12.75">
      <c r="A22" s="32"/>
      <c r="B22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rwestbrook</dc:creator>
  <cp:keywords/>
  <dc:description/>
  <cp:lastModifiedBy>Goodwin, Andrea</cp:lastModifiedBy>
  <cp:lastPrinted>2011-02-09T15:04:47Z</cp:lastPrinted>
  <dcterms:created xsi:type="dcterms:W3CDTF">2007-10-02T11:23:24Z</dcterms:created>
  <dcterms:modified xsi:type="dcterms:W3CDTF">2011-02-09T15:22:56Z</dcterms:modified>
  <cp:category/>
  <cp:version/>
  <cp:contentType/>
  <cp:contentStatus/>
</cp:coreProperties>
</file>